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ycle Count" sheetId="3" state="visible" r:id="rId5"/>
    <sheet name="Count Schedule" sheetId="4" state="visible" r:id="rId6"/>
    <sheet name="Item Master" sheetId="5" state="visible" r:id="rId7"/>
    <sheet name="Lists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<sst xmlns="http://schemas.openxmlformats.org/spreadsheetml/2006/main" count="265" uniqueCount="151">
  <si>
    <t xml:space="preserve">How to Use  —  Periodic Cycle Count Template</t>
  </si>
  <si>
    <t xml:space="preserve">by ExcelGuru.io  |  Count smarter, not harder — verify inventory accuracy on a rolling schedule.</t>
  </si>
  <si>
    <t xml:space="preserve">What this template does</t>
  </si>
  <si>
    <t xml:space="preserve">It lets you verify physical stock against your system records on a recurring (periodic) schedule, calculates the variance automatically, and tracks count accuracy on a live dashboard.</t>
  </si>
  <si>
    <t xml:space="preserve">Sheet 1 — Item Master</t>
  </si>
  <si>
    <t xml:space="preserve">Enter every product you stock: SKU, description, category, bin location, ABC class, unit cost and the System Qty your software shows. Add as many rows as you need (formulas reach row 203).</t>
  </si>
  <si>
    <t xml:space="preserve">Sheet 2 — Count Schedule</t>
  </si>
  <si>
    <t xml:space="preserve">Each item inherits a count frequency from its ABC class (A = 30 days, B = 90, C = 180 — editable on the Lists sheet). Enter the Last Count Date and the template flags items that are Overdue or Due soon.</t>
  </si>
  <si>
    <t xml:space="preserve">Sheet 3 — Cycle Count</t>
  </si>
  <si>
    <t xml:space="preserve">On count day, type the Count Date, SKU and Counted Qty in the amber columns. Description, location, ABC class and System Qty fill in automatically; Variance, Variance Value, Variance % and Result calculate instantly.</t>
  </si>
  <si>
    <t xml:space="preserve">Sheet 4 — Dashboard</t>
  </si>
  <si>
    <t xml:space="preserve">Watch your KPIs update live: items counted, count accuracy %, items with variance, net variance and total variance value, plus an accuracy pie chart and a variance-by-class bar chart.</t>
  </si>
  <si>
    <t xml:space="preserve">Colour guide</t>
  </si>
  <si>
    <t xml:space="preserve">Amber cells are for YOU to type in. White cells contain formulas — leave them alone. Green cells with 'Mismatch' need a recount or stock adjustment.</t>
  </si>
  <si>
    <t xml:space="preserve">Tips</t>
  </si>
  <si>
    <t xml:space="preserve">Count high-value Class A items most often. Investigate every Mismatch before approving. Change the Status to 'Approved' or 'Adjusted' once resolved, then update the Last Count Date on the schedule.</t>
  </si>
  <si>
    <t xml:space="preserve">PERIODIC CYCLE COUNT  —  DASHBOARD</t>
  </si>
  <si>
    <t xml:space="preserve">Items Counted</t>
  </si>
  <si>
    <t xml:space="preserve">Items Matching</t>
  </si>
  <si>
    <t xml:space="preserve">Count Accuracy</t>
  </si>
  <si>
    <t xml:space="preserve">Items w/ Variance</t>
  </si>
  <si>
    <t xml:space="preserve">Net Variance (units)</t>
  </si>
  <si>
    <t xml:space="preserve">Total Variance Value</t>
  </si>
  <si>
    <t xml:space="preserve">Accuracy Breakdown</t>
  </si>
  <si>
    <t xml:space="preserve">Variance Value by ABC Class ($)</t>
  </si>
  <si>
    <t xml:space="preserve">Result</t>
  </si>
  <si>
    <t xml:space="preserve">Count</t>
  </si>
  <si>
    <t xml:space="preserve">Class</t>
  </si>
  <si>
    <t xml:space="preserve">Abs Variance Value</t>
  </si>
  <si>
    <t xml:space="preserve">Match</t>
  </si>
  <si>
    <t xml:space="preserve">A</t>
  </si>
  <si>
    <t xml:space="preserve">Mismatch</t>
  </si>
  <si>
    <t xml:space="preserve">B</t>
  </si>
  <si>
    <t xml:space="preserve">C</t>
  </si>
  <si>
    <t xml:space="preserve">Cycle Count Sheet — enter SKU, Counted Qty &amp; details in the amber columns</t>
  </si>
  <si>
    <t xml:space="preserve">Count Date</t>
  </si>
  <si>
    <t xml:space="preserve">SKU</t>
  </si>
  <si>
    <t xml:space="preserve">Item Description</t>
  </si>
  <si>
    <t xml:space="preserve">Location / Bin</t>
  </si>
  <si>
    <t xml:space="preserve">ABC</t>
  </si>
  <si>
    <t xml:space="preserve">System Qty</t>
  </si>
  <si>
    <t xml:space="preserve">Counted Qty</t>
  </si>
  <si>
    <t xml:space="preserve">Variance</t>
  </si>
  <si>
    <t xml:space="preserve">Variance Value</t>
  </si>
  <si>
    <t xml:space="preserve">Variance %</t>
  </si>
  <si>
    <t xml:space="preserve">Counted By</t>
  </si>
  <si>
    <t xml:space="preserve">Status</t>
  </si>
  <si>
    <t xml:space="preserve">Notes</t>
  </si>
  <si>
    <t xml:space="preserve">SKU-1001</t>
  </si>
  <si>
    <t xml:space="preserve">Warehouse A</t>
  </si>
  <si>
    <t xml:space="preserve">Approved</t>
  </si>
  <si>
    <t xml:space="preserve">SKU-1002</t>
  </si>
  <si>
    <t xml:space="preserve">Open</t>
  </si>
  <si>
    <t xml:space="preserve">SKU-1007</t>
  </si>
  <si>
    <t xml:space="preserve">SKU-1013</t>
  </si>
  <si>
    <t xml:space="preserve">SKU-1017</t>
  </si>
  <si>
    <t xml:space="preserve">SKU-1024</t>
  </si>
  <si>
    <t xml:space="preserve">SKU-1005</t>
  </si>
  <si>
    <t xml:space="preserve">SKU-1006</t>
  </si>
  <si>
    <t xml:space="preserve">SKU-1015</t>
  </si>
  <si>
    <t xml:space="preserve">SKU-1009</t>
  </si>
  <si>
    <t xml:space="preserve">SKU-1012</t>
  </si>
  <si>
    <t xml:space="preserve">SKU-1003</t>
  </si>
  <si>
    <t xml:space="preserve">Count Schedule — periodic cadence by ABC class (enter Last Count Date)</t>
  </si>
  <si>
    <t xml:space="preserve">ABC Class</t>
  </si>
  <si>
    <t xml:space="preserve">Frequency (days)</t>
  </si>
  <si>
    <t xml:space="preserve">Last Count Date</t>
  </si>
  <si>
    <t xml:space="preserve">Next Due Date</t>
  </si>
  <si>
    <t xml:space="preserve">Days Until Due</t>
  </si>
  <si>
    <t xml:space="preserve">Schedule Status</t>
  </si>
  <si>
    <t xml:space="preserve">SKU-1004</t>
  </si>
  <si>
    <t xml:space="preserve">SKU-1008</t>
  </si>
  <si>
    <t xml:space="preserve">SKU-1010</t>
  </si>
  <si>
    <t xml:space="preserve">SKU-1011</t>
  </si>
  <si>
    <t xml:space="preserve">SKU-1014</t>
  </si>
  <si>
    <t xml:space="preserve">SKU-1016</t>
  </si>
  <si>
    <t xml:space="preserve">SKU-1018</t>
  </si>
  <si>
    <t xml:space="preserve">SKU-1019</t>
  </si>
  <si>
    <t xml:space="preserve">SKU-1020</t>
  </si>
  <si>
    <t xml:space="preserve">SKU-1021</t>
  </si>
  <si>
    <t xml:space="preserve">SKU-1022</t>
  </si>
  <si>
    <t xml:space="preserve">SKU-1023</t>
  </si>
  <si>
    <t xml:space="preserve">Item Master — your full product list (edit / add rows freely)</t>
  </si>
  <si>
    <t xml:space="preserve">Category</t>
  </si>
  <si>
    <t xml:space="preserve">Unit Cost</t>
  </si>
  <si>
    <t xml:space="preserve">Cordless Drill 18V</t>
  </si>
  <si>
    <t xml:space="preserve">Power Tools</t>
  </si>
  <si>
    <t xml:space="preserve">A1-01</t>
  </si>
  <si>
    <t xml:space="preserve">Drill Bit Set (29pc)</t>
  </si>
  <si>
    <t xml:space="preserve">Accessories</t>
  </si>
  <si>
    <t xml:space="preserve">A1-02</t>
  </si>
  <si>
    <t xml:space="preserve">Safety Goggles</t>
  </si>
  <si>
    <t xml:space="preserve">PPE</t>
  </si>
  <si>
    <t xml:space="preserve">A2-01</t>
  </si>
  <si>
    <t xml:space="preserve">Work Gloves (L)</t>
  </si>
  <si>
    <t xml:space="preserve">A2-02</t>
  </si>
  <si>
    <t xml:space="preserve">Hammer 16oz</t>
  </si>
  <si>
    <t xml:space="preserve">Hand Tools</t>
  </si>
  <si>
    <t xml:space="preserve">A1-03</t>
  </si>
  <si>
    <t xml:space="preserve">Tape Measure 8m</t>
  </si>
  <si>
    <t xml:space="preserve">A1-04</t>
  </si>
  <si>
    <t xml:space="preserve">LED Work Light</t>
  </si>
  <si>
    <t xml:space="preserve">Lighting</t>
  </si>
  <si>
    <t xml:space="preserve">B1-01</t>
  </si>
  <si>
    <t xml:space="preserve">Extension Cord 10m</t>
  </si>
  <si>
    <t xml:space="preserve">Electrical</t>
  </si>
  <si>
    <t xml:space="preserve">B1-02</t>
  </si>
  <si>
    <t xml:space="preserve">Screws M4 (box 500)</t>
  </si>
  <si>
    <t xml:space="preserve">Fasteners</t>
  </si>
  <si>
    <t xml:space="preserve">C1-01</t>
  </si>
  <si>
    <t xml:space="preserve">Wall Anchors (box 100)</t>
  </si>
  <si>
    <t xml:space="preserve">C1-02</t>
  </si>
  <si>
    <t xml:space="preserve">Paint Roller Kit</t>
  </si>
  <si>
    <t xml:space="preserve">Decorating</t>
  </si>
  <si>
    <t xml:space="preserve">C2-01</t>
  </si>
  <si>
    <t xml:space="preserve">Masking Tape 50m</t>
  </si>
  <si>
    <t xml:space="preserve">C2-02</t>
  </si>
  <si>
    <t xml:space="preserve">Circular Saw 1200W</t>
  </si>
  <si>
    <t xml:space="preserve">A1-05</t>
  </si>
  <si>
    <t xml:space="preserve">Saw Blade 184mm</t>
  </si>
  <si>
    <t xml:space="preserve">A1-06</t>
  </si>
  <si>
    <t xml:space="preserve">Spirit Level 60cm</t>
  </si>
  <si>
    <t xml:space="preserve">A1-07</t>
  </si>
  <si>
    <t xml:space="preserve">Utility Knife</t>
  </si>
  <si>
    <t xml:space="preserve">A2-03</t>
  </si>
  <si>
    <t xml:space="preserve">Ladder 3-Step</t>
  </si>
  <si>
    <t xml:space="preserve">Access Equip</t>
  </si>
  <si>
    <t xml:space="preserve">D1-01</t>
  </si>
  <si>
    <t xml:space="preserve">Tool Box 19in</t>
  </si>
  <si>
    <t xml:space="preserve">Storage</t>
  </si>
  <si>
    <t xml:space="preserve">D1-02</t>
  </si>
  <si>
    <t xml:space="preserve">Cable Ties (pack 200)</t>
  </si>
  <si>
    <t xml:space="preserve">C1-03</t>
  </si>
  <si>
    <t xml:space="preserve">Sandpaper Asst (20)</t>
  </si>
  <si>
    <t xml:space="preserve">C2-03</t>
  </si>
  <si>
    <t xml:space="preserve">Wrench Set (10pc)</t>
  </si>
  <si>
    <t xml:space="preserve">A1-08</t>
  </si>
  <si>
    <t xml:space="preserve">Caulking Gun</t>
  </si>
  <si>
    <t xml:space="preserve">C2-04</t>
  </si>
  <si>
    <t xml:space="preserve">Dust Mask (box 50)</t>
  </si>
  <si>
    <t xml:space="preserve">A2-04</t>
  </si>
  <si>
    <t xml:space="preserve">Angle Grinder 900W</t>
  </si>
  <si>
    <t xml:space="preserve">A1-09</t>
  </si>
  <si>
    <t xml:space="preserve">Dropdown Lists &amp; Settings (you may edit these)</t>
  </si>
  <si>
    <t xml:space="preserve">Count Status</t>
  </si>
  <si>
    <t xml:space="preserve">Count Frequency by Class (days)</t>
  </si>
  <si>
    <t xml:space="preserve">Recounted</t>
  </si>
  <si>
    <t xml:space="preserve">Warehouse B</t>
  </si>
  <si>
    <t xml:space="preserve">Store Floor</t>
  </si>
  <si>
    <t xml:space="preserve">Adjusted</t>
  </si>
  <si>
    <t xml:space="preserve">Receiving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</si>
</sst>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"/>
    <numFmt numFmtId="166" formatCode="0.0%"/>
    <numFmt numFmtId="167" formatCode="#,##0;\(#,##0\)"/>
    <numFmt numFmtId="168" formatCode="\$#,##0.00;&quot;($&quot;#,##0.00\)"/>
    <numFmt numFmtId="169" formatCode="\$#,##0.00"/>
    <numFmt numFmtId="170" formatCode="yyyy\-mm\-dd"/>
    <numFmt numFmtId="171" formatCode="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  <font>
      <b val="true"/>
      <sz val="11"/>
      <color rgb="FF1F4E7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2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Count Accuracy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Dashboard!$A$12:$A$13</c:f>
              <c:strCache>
                <c:ptCount val="2"/>
                <c:pt idx="0">
                  <c:v>Match</c:v>
                </c:pt>
                <c:pt idx="1">
                  <c:v>Mismatch</c:v>
                </c:pt>
              </c:strCache>
            </c:strRef>
          </c:cat>
          <c:val>
            <c:numRef>
              <c:f>Dashboard!$B$12:$B$13</c:f>
              <c:numCache>
                <c:formatCode>General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Variance Value by ABC Class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Abs Variance Value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Dashboard!$D$12:$D$14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Dashboard!$E$12:$E$14</c:f>
              <c:numCache>
                <c:formatCode>\$#,##0.00</c:formatCode>
                <c:ptCount val="3"/>
                <c:pt idx="0">
                  <c:v>226.5</c:v>
                </c:pt>
                <c:pt idx="1">
                  <c:v>52.5</c:v>
                </c:pt>
                <c:pt idx="2">
                  <c:v>28.5</c:v>
                </c:pt>
              </c:numCache>
            </c:numRef>
          </c:val>
        </c:ser>
        <c:gapWidth val="150"/>
        <c:overlap val="0"/>
        <c:axId val="25796400"/>
        <c:axId val="33326078"/>
      </c:barChart>
      <c:catAx>
        <c:axId val="2579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326078"/>
        <c:crosses val="autoZero"/>
        <c:auto val="1"/>
        <c:lblAlgn val="ctr"/>
        <c:lblOffset val="100"/>
        <c:noMultiLvlLbl val="0"/>
      </c:catAx>
      <c:valAx>
        <c:axId val="3332607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579640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10</xdr:row>
      <xdr:rowOff>177120</xdr:rowOff>
    </xdr:from>
    <xdr:to>
      <xdr:col>3</xdr:col>
      <xdr:colOff>702000</xdr:colOff>
      <xdr:row>23</xdr:row>
      <xdr:rowOff>40320</xdr:rowOff>
    </xdr:to>
    <xdr:graphicFrame>
      <xdr:nvGraphicFramePr>
        <xdr:cNvPr id="0" name="Chart 1"/>
        <xdr:cNvGraphicFramePr/>
      </xdr:nvGraphicFramePr>
      <xdr:xfrm>
        <a:off x="0" y="3286080"/>
        <a:ext cx="323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10</xdr:row>
      <xdr:rowOff>177120</xdr:rowOff>
    </xdr:from>
    <xdr:to>
      <xdr:col>6</xdr:col>
      <xdr:colOff>843480</xdr:colOff>
      <xdr:row>23</xdr:row>
      <xdr:rowOff>40320</xdr:rowOff>
    </xdr:to>
    <xdr:graphicFrame>
      <xdr:nvGraphicFramePr>
        <xdr:cNvPr id="1" name="Chart 2"/>
        <xdr:cNvGraphicFramePr/>
      </xdr:nvGraphicFramePr>
      <xdr:xfrm>
        <a:off x="2537640" y="3286080"/>
        <a:ext cx="323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2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  <row r="19" customFormat="false" ht="15" hidden="false" customHeight="true" outlineLevel="0" collapsed="false">
      <c r="A19" s="3" t="s">
        <v>12</v>
      </c>
      <c r="B19" s="3"/>
      <c r="C19" s="3"/>
      <c r="D19" s="3"/>
      <c r="E19" s="3"/>
      <c r="F19" s="3"/>
    </row>
    <row r="20" customFormat="false" ht="42" hidden="false" customHeight="true" outlineLevel="0" collapsed="false">
      <c r="A20" s="4" t="s">
        <v>13</v>
      </c>
      <c r="B20" s="4"/>
      <c r="C20" s="4"/>
      <c r="D20" s="4"/>
      <c r="E20" s="4"/>
      <c r="F20" s="4"/>
    </row>
    <row r="22" customFormat="false" ht="15" hidden="false" customHeight="true" outlineLevel="0" collapsed="false">
      <c r="A22" s="3" t="s">
        <v>14</v>
      </c>
      <c r="B22" s="3"/>
      <c r="C22" s="3"/>
      <c r="D22" s="3"/>
      <c r="E22" s="3"/>
      <c r="F22" s="3"/>
    </row>
    <row r="23" customFormat="false" ht="42" hidden="false" customHeight="true" outlineLevel="0" collapsed="false">
      <c r="A23" s="4" t="s">
        <v>15</v>
      </c>
      <c r="B23" s="4"/>
      <c r="C23" s="4"/>
      <c r="D23" s="4"/>
      <c r="E23" s="4"/>
      <c r="F23" s="4"/>
    </row>
  </sheetData>
  <mergeCells count="16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  <mergeCell ref="A19:F19"/>
    <mergeCell ref="A20:F20"/>
    <mergeCell ref="A22:F22"/>
    <mergeCell ref="A23:F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4"/>
    <col collapsed="false" customWidth="true" hidden="false" outlineLevel="0" max="4" min="4" style="0" width="12"/>
    <col collapsed="false" customWidth="true" hidden="false" outlineLevel="0" max="5" min="5" style="0" width="18"/>
    <col collapsed="false" customWidth="true" hidden="false" outlineLevel="0" max="6" min="6" style="0" width="4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16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17</v>
      </c>
      <c r="B3" s="6"/>
      <c r="C3" s="6" t="s">
        <v>18</v>
      </c>
      <c r="D3" s="6"/>
      <c r="E3" s="6" t="s">
        <v>19</v>
      </c>
      <c r="F3" s="6"/>
      <c r="G3" s="6" t="s">
        <v>20</v>
      </c>
      <c r="H3" s="6"/>
    </row>
    <row r="4" customFormat="false" ht="30" hidden="false" customHeight="true" outlineLevel="0" collapsed="false">
      <c r="A4" s="7" t="n">
        <f aca="false">COUNT('Cycle Count'!G4:G53)</f>
        <v>12</v>
      </c>
      <c r="B4" s="7"/>
      <c r="C4" s="7" t="n">
        <f aca="false">COUNTIF('Cycle Count'!K4:K53,"Match")</f>
        <v>6</v>
      </c>
      <c r="D4" s="7"/>
      <c r="E4" s="8" t="n">
        <f aca="false">IF((COUNTIF('Cycle Count'!K4:K53,"Match")+COUNTIF('Cycle Count'!K4:K53,"Mismatch"))=0,0,COUNTIF('Cycle Count'!K4:K53,"Match")/(COUNTIF('Cycle Count'!K4:K53,"Match")+COUNTIF('Cycle Count'!K4:K53,"Mismatch")))</f>
        <v>0.5</v>
      </c>
      <c r="F4" s="8"/>
      <c r="G4" s="7" t="n">
        <f aca="false">COUNTIF('Cycle Count'!K4:K53,"Mismatch")</f>
        <v>6</v>
      </c>
      <c r="H4" s="7"/>
    </row>
    <row r="6" customFormat="false" ht="23.85" hidden="false" customHeight="true" outlineLevel="0" collapsed="false">
      <c r="A6" s="6" t="s">
        <v>21</v>
      </c>
      <c r="B6" s="6"/>
      <c r="C6" s="6" t="s">
        <v>22</v>
      </c>
      <c r="D6" s="6"/>
    </row>
    <row r="7" customFormat="false" ht="30" hidden="false" customHeight="true" outlineLevel="0" collapsed="false">
      <c r="A7" s="9" t="n">
        <f aca="false">SUM('Cycle Count'!H4:H53)</f>
        <v>-19</v>
      </c>
      <c r="B7" s="9"/>
      <c r="C7" s="10" t="n">
        <f aca="false">SUM('Cycle Count'!I4:I53)</f>
        <v>-248.1</v>
      </c>
      <c r="D7" s="10"/>
    </row>
    <row r="10" customFormat="false" ht="52.2" hidden="false" customHeight="false" outlineLevel="0" collapsed="false">
      <c r="A10" s="11" t="s">
        <v>23</v>
      </c>
      <c r="D10" s="11" t="s">
        <v>24</v>
      </c>
    </row>
    <row r="11" customFormat="false" ht="15" hidden="false" customHeight="false" outlineLevel="0" collapsed="false">
      <c r="A11" s="12" t="s">
        <v>25</v>
      </c>
      <c r="B11" s="12" t="s">
        <v>26</v>
      </c>
      <c r="D11" s="12" t="s">
        <v>27</v>
      </c>
      <c r="E11" s="12" t="s">
        <v>28</v>
      </c>
    </row>
    <row r="12" customFormat="false" ht="15" hidden="false" customHeight="false" outlineLevel="0" collapsed="false">
      <c r="A12" s="13" t="s">
        <v>29</v>
      </c>
      <c r="B12" s="13" t="n">
        <f aca="false">COUNTIF('Cycle Count'!K4:K53,"Match")</f>
        <v>6</v>
      </c>
      <c r="D12" s="13" t="s">
        <v>30</v>
      </c>
      <c r="E12" s="14" t="n">
        <f aca="false">SUMPRODUCT(('Cycle Count'!E4:E53="A")*ABS(IF('Cycle Count'!I4:I53="",0,'Cycle Count'!I4:I53)))</f>
        <v>226.5</v>
      </c>
    </row>
    <row r="13" customFormat="false" ht="15" hidden="false" customHeight="false" outlineLevel="0" collapsed="false">
      <c r="A13" s="13" t="s">
        <v>31</v>
      </c>
      <c r="B13" s="13" t="n">
        <f aca="false">COUNTIF('Cycle Count'!K4:K53,"Mismatch")</f>
        <v>6</v>
      </c>
      <c r="D13" s="13" t="s">
        <v>32</v>
      </c>
      <c r="E13" s="14" t="n">
        <f aca="false">SUMPRODUCT(('Cycle Count'!E4:E53="B")*ABS(IF('Cycle Count'!I4:I53="",0,'Cycle Count'!I4:I53)))</f>
        <v>52.5</v>
      </c>
    </row>
    <row r="14" customFormat="false" ht="15" hidden="false" customHeight="false" outlineLevel="0" collapsed="false">
      <c r="D14" s="13" t="s">
        <v>33</v>
      </c>
      <c r="E14" s="14" t="n">
        <f aca="false">SUMPRODUCT(('Cycle Count'!E4:E53="C")*ABS(IF('Cycle Count'!I4:I53="",0,'Cycle Count'!I4:I53)))</f>
        <v>28.5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N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2"/>
    <col collapsed="false" customWidth="true" hidden="false" outlineLevel="0" max="3" min="3" style="0" width="24"/>
    <col collapsed="false" customWidth="true" hidden="false" outlineLevel="0" max="4" min="4" style="0" width="13"/>
    <col collapsed="false" customWidth="true" hidden="false" outlineLevel="0" max="5" min="5" style="0" width="7"/>
    <col collapsed="false" customWidth="true" hidden="false" outlineLevel="0" max="7" min="6" style="0" width="11"/>
    <col collapsed="false" customWidth="true" hidden="false" outlineLevel="0" max="8" min="8" style="0" width="10"/>
    <col collapsed="false" customWidth="true" hidden="false" outlineLevel="0" max="9" min="9" style="0" width="13"/>
    <col collapsed="false" customWidth="true" hidden="false" outlineLevel="0" max="10" min="10" style="0" width="10"/>
    <col collapsed="false" customWidth="true" hidden="false" outlineLevel="0" max="11" min="11" style="0" width="11"/>
    <col collapsed="false" customWidth="true" hidden="false" outlineLevel="0" max="12" min="12" style="0" width="13"/>
    <col collapsed="false" customWidth="true" hidden="false" outlineLevel="0" max="13" min="13" style="0" width="12"/>
    <col collapsed="false" customWidth="true" hidden="false" outlineLevel="0" max="14" min="14" style="0" width="22"/>
  </cols>
  <sheetData>
    <row r="1" customFormat="false" ht="115.65" hidden="false" customHeight="false" outlineLevel="0" collapsed="false">
      <c r="A1" s="15" t="s">
        <v>34</v>
      </c>
    </row>
    <row r="3" customFormat="false" ht="23.85" hidden="false" customHeight="false" outlineLevel="0" collapsed="false">
      <c r="A3" s="16" t="s">
        <v>35</v>
      </c>
      <c r="B3" s="16" t="s">
        <v>36</v>
      </c>
      <c r="C3" s="16" t="s">
        <v>37</v>
      </c>
      <c r="D3" s="16" t="s">
        <v>38</v>
      </c>
      <c r="E3" s="16" t="s">
        <v>39</v>
      </c>
      <c r="F3" s="16" t="s">
        <v>40</v>
      </c>
      <c r="G3" s="16" t="s">
        <v>41</v>
      </c>
      <c r="H3" s="16" t="s">
        <v>42</v>
      </c>
      <c r="I3" s="16" t="s">
        <v>43</v>
      </c>
      <c r="J3" s="16" t="s">
        <v>44</v>
      </c>
      <c r="K3" s="16" t="s">
        <v>25</v>
      </c>
      <c r="L3" s="16" t="s">
        <v>45</v>
      </c>
      <c r="M3" s="16" t="s">
        <v>46</v>
      </c>
      <c r="N3" s="16" t="s">
        <v>47</v>
      </c>
    </row>
    <row r="4" customFormat="false" ht="15" hidden="false" customHeight="false" outlineLevel="0" collapsed="false">
      <c r="A4" s="17" t="n">
        <v>45446</v>
      </c>
      <c r="B4" s="18" t="s">
        <v>48</v>
      </c>
      <c r="C4" s="19" t="str">
        <f aca="false">IFERROR(VLOOKUP(B4,'Item Master'!$A$4:$G$203,2,FALSE()),"")</f>
        <v>Cordless Drill 18V</v>
      </c>
      <c r="D4" s="19" t="str">
        <f aca="false">IFERROR(VLOOKUP(B4,'Item Master'!$A$4:$G$203,4,FALSE()),"")</f>
        <v>A1-01</v>
      </c>
      <c r="E4" s="20" t="str">
        <f aca="false">IFERROR(VLOOKUP(B4,'Item Master'!$A$4:$G$203,5,FALSE()),"")</f>
        <v>A</v>
      </c>
      <c r="F4" s="21" t="n">
        <f aca="false">IF(B4="","",IFERROR(VLOOKUP(B4,'Item Master'!$A$4:$G$203,7,FALSE()),""))</f>
        <v>42</v>
      </c>
      <c r="G4" s="22" t="n">
        <v>41</v>
      </c>
      <c r="H4" s="23" t="n">
        <f aca="false">IF(OR(B4="",G4=""),"",G4-F4)</f>
        <v>-1</v>
      </c>
      <c r="I4" s="24" t="n">
        <f aca="false">IF(H4="","",H4*IFERROR(VLOOKUP(B4,'Item Master'!$A$4:$G$203,6,FALSE()),0))</f>
        <v>-78.5</v>
      </c>
      <c r="J4" s="25" t="n">
        <f aca="false">IF(OR(H4="",F4=0,F4=""),"",H4/F4)</f>
        <v>-0.0238095238095238</v>
      </c>
      <c r="K4" s="20" t="str">
        <f aca="false">IF(H4="","",IF(H4=0,"Match","Mismatch"))</f>
        <v>Mismatch</v>
      </c>
      <c r="L4" s="26" t="s">
        <v>49</v>
      </c>
      <c r="M4" s="18" t="s">
        <v>50</v>
      </c>
      <c r="N4" s="26"/>
    </row>
    <row r="5" customFormat="false" ht="15" hidden="false" customHeight="false" outlineLevel="0" collapsed="false">
      <c r="A5" s="17" t="n">
        <v>45446</v>
      </c>
      <c r="B5" s="18" t="s">
        <v>51</v>
      </c>
      <c r="C5" s="19" t="str">
        <f aca="false">IFERROR(VLOOKUP(B5,'Item Master'!$A$4:$G$203,2,FALSE()),"")</f>
        <v>Drill Bit Set (29pc)</v>
      </c>
      <c r="D5" s="19" t="str">
        <f aca="false">IFERROR(VLOOKUP(B5,'Item Master'!$A$4:$G$203,4,FALSE()),"")</f>
        <v>A1-02</v>
      </c>
      <c r="E5" s="20" t="str">
        <f aca="false">IFERROR(VLOOKUP(B5,'Item Master'!$A$4:$G$203,5,FALSE()),"")</f>
        <v>B</v>
      </c>
      <c r="F5" s="21" t="n">
        <f aca="false">IF(B5="","",IFERROR(VLOOKUP(B5,'Item Master'!$A$4:$G$203,7,FALSE()),""))</f>
        <v>160</v>
      </c>
      <c r="G5" s="22" t="n">
        <v>160</v>
      </c>
      <c r="H5" s="23" t="n">
        <f aca="false">IF(OR(B5="",G5=""),"",G5-F5)</f>
        <v>0</v>
      </c>
      <c r="I5" s="24" t="n">
        <f aca="false">IF(H5="","",H5*IFERROR(VLOOKUP(B5,'Item Master'!$A$4:$G$203,6,FALSE()),0))</f>
        <v>0</v>
      </c>
      <c r="J5" s="25" t="n">
        <f aca="false">IF(OR(H5="",F5=0,F5=""),"",H5/F5)</f>
        <v>0</v>
      </c>
      <c r="K5" s="20" t="str">
        <f aca="false">IF(H5="","",IF(H5=0,"Match","Mismatch"))</f>
        <v>Match</v>
      </c>
      <c r="L5" s="26" t="s">
        <v>49</v>
      </c>
      <c r="M5" s="18" t="s">
        <v>52</v>
      </c>
      <c r="N5" s="26"/>
    </row>
    <row r="6" customFormat="false" ht="15" hidden="false" customHeight="false" outlineLevel="0" collapsed="false">
      <c r="A6" s="17" t="n">
        <v>45446</v>
      </c>
      <c r="B6" s="18" t="s">
        <v>53</v>
      </c>
      <c r="C6" s="19" t="str">
        <f aca="false">IFERROR(VLOOKUP(B6,'Item Master'!$A$4:$G$203,2,FALSE()),"")</f>
        <v>LED Work Light</v>
      </c>
      <c r="D6" s="19" t="str">
        <f aca="false">IFERROR(VLOOKUP(B6,'Item Master'!$A$4:$G$203,4,FALSE()),"")</f>
        <v>B1-01</v>
      </c>
      <c r="E6" s="20" t="str">
        <f aca="false">IFERROR(VLOOKUP(B6,'Item Master'!$A$4:$G$203,5,FALSE()),"")</f>
        <v>A</v>
      </c>
      <c r="F6" s="21" t="n">
        <f aca="false">IF(B6="","",IFERROR(VLOOKUP(B6,'Item Master'!$A$4:$G$203,7,FALSE()),""))</f>
        <v>60</v>
      </c>
      <c r="G6" s="22" t="n">
        <v>57</v>
      </c>
      <c r="H6" s="23" t="n">
        <f aca="false">IF(OR(B6="",G6=""),"",G6-F6)</f>
        <v>-3</v>
      </c>
      <c r="I6" s="24" t="n">
        <f aca="false">IF(H6="","",H6*IFERROR(VLOOKUP(B6,'Item Master'!$A$4:$G$203,6,FALSE()),0))</f>
        <v>-102</v>
      </c>
      <c r="J6" s="25" t="n">
        <f aca="false">IF(OR(H6="",F6=0,F6=""),"",H6/F6)</f>
        <v>-0.05</v>
      </c>
      <c r="K6" s="20" t="str">
        <f aca="false">IF(H6="","",IF(H6=0,"Match","Mismatch"))</f>
        <v>Mismatch</v>
      </c>
      <c r="L6" s="26" t="s">
        <v>49</v>
      </c>
      <c r="M6" s="18" t="s">
        <v>52</v>
      </c>
      <c r="N6" s="26"/>
    </row>
    <row r="7" customFormat="false" ht="15" hidden="false" customHeight="false" outlineLevel="0" collapsed="false">
      <c r="A7" s="17" t="n">
        <v>45447</v>
      </c>
      <c r="B7" s="18" t="s">
        <v>54</v>
      </c>
      <c r="C7" s="19" t="str">
        <f aca="false">IFERROR(VLOOKUP(B7,'Item Master'!$A$4:$G$203,2,FALSE()),"")</f>
        <v>Circular Saw 1200W</v>
      </c>
      <c r="D7" s="19" t="str">
        <f aca="false">IFERROR(VLOOKUP(B7,'Item Master'!$A$4:$G$203,4,FALSE()),"")</f>
        <v>A1-05</v>
      </c>
      <c r="E7" s="20" t="str">
        <f aca="false">IFERROR(VLOOKUP(B7,'Item Master'!$A$4:$G$203,5,FALSE()),"")</f>
        <v>A</v>
      </c>
      <c r="F7" s="21" t="n">
        <f aca="false">IF(B7="","",IFERROR(VLOOKUP(B7,'Item Master'!$A$4:$G$203,7,FALSE()),""))</f>
        <v>28</v>
      </c>
      <c r="G7" s="22" t="n">
        <v>28</v>
      </c>
      <c r="H7" s="23" t="n">
        <f aca="false">IF(OR(B7="",G7=""),"",G7-F7)</f>
        <v>0</v>
      </c>
      <c r="I7" s="24" t="n">
        <f aca="false">IF(H7="","",H7*IFERROR(VLOOKUP(B7,'Item Master'!$A$4:$G$203,6,FALSE()),0))</f>
        <v>0</v>
      </c>
      <c r="J7" s="25" t="n">
        <f aca="false">IF(OR(H7="",F7=0,F7=""),"",H7/F7)</f>
        <v>0</v>
      </c>
      <c r="K7" s="20" t="str">
        <f aca="false">IF(H7="","",IF(H7=0,"Match","Mismatch"))</f>
        <v>Match</v>
      </c>
      <c r="L7" s="26" t="s">
        <v>49</v>
      </c>
      <c r="M7" s="18" t="s">
        <v>50</v>
      </c>
      <c r="N7" s="26"/>
    </row>
    <row r="8" customFormat="false" ht="15" hidden="false" customHeight="false" outlineLevel="0" collapsed="false">
      <c r="A8" s="17" t="n">
        <v>45447</v>
      </c>
      <c r="B8" s="18" t="s">
        <v>55</v>
      </c>
      <c r="C8" s="19" t="str">
        <f aca="false">IFERROR(VLOOKUP(B8,'Item Master'!$A$4:$G$203,2,FALSE()),"")</f>
        <v>Ladder 3-Step</v>
      </c>
      <c r="D8" s="19" t="str">
        <f aca="false">IFERROR(VLOOKUP(B8,'Item Master'!$A$4:$G$203,4,FALSE()),"")</f>
        <v>D1-01</v>
      </c>
      <c r="E8" s="20" t="str">
        <f aca="false">IFERROR(VLOOKUP(B8,'Item Master'!$A$4:$G$203,5,FALSE()),"")</f>
        <v>A</v>
      </c>
      <c r="F8" s="21" t="n">
        <f aca="false">IF(B8="","",IFERROR(VLOOKUP(B8,'Item Master'!$A$4:$G$203,7,FALSE()),""))</f>
        <v>34</v>
      </c>
      <c r="G8" s="22" t="n">
        <v>33</v>
      </c>
      <c r="H8" s="23" t="n">
        <f aca="false">IF(OR(B8="",G8=""),"",G8-F8)</f>
        <v>-1</v>
      </c>
      <c r="I8" s="24" t="n">
        <f aca="false">IF(H8="","",H8*IFERROR(VLOOKUP(B8,'Item Master'!$A$4:$G$203,6,FALSE()),0))</f>
        <v>-46</v>
      </c>
      <c r="J8" s="25" t="n">
        <f aca="false">IF(OR(H8="",F8=0,F8=""),"",H8/F8)</f>
        <v>-0.0294117647058824</v>
      </c>
      <c r="K8" s="20" t="str">
        <f aca="false">IF(H8="","",IF(H8=0,"Match","Mismatch"))</f>
        <v>Mismatch</v>
      </c>
      <c r="L8" s="26" t="s">
        <v>49</v>
      </c>
      <c r="M8" s="18" t="s">
        <v>52</v>
      </c>
      <c r="N8" s="26"/>
    </row>
    <row r="9" customFormat="false" ht="15" hidden="false" customHeight="false" outlineLevel="0" collapsed="false">
      <c r="A9" s="17" t="n">
        <v>45447</v>
      </c>
      <c r="B9" s="18" t="s">
        <v>56</v>
      </c>
      <c r="C9" s="19" t="str">
        <f aca="false">IFERROR(VLOOKUP(B9,'Item Master'!$A$4:$G$203,2,FALSE()),"")</f>
        <v>Angle Grinder 900W</v>
      </c>
      <c r="D9" s="19" t="str">
        <f aca="false">IFERROR(VLOOKUP(B9,'Item Master'!$A$4:$G$203,4,FALSE()),"")</f>
        <v>A1-09</v>
      </c>
      <c r="E9" s="20" t="str">
        <f aca="false">IFERROR(VLOOKUP(B9,'Item Master'!$A$4:$G$203,5,FALSE()),"")</f>
        <v>A</v>
      </c>
      <c r="F9" s="21" t="n">
        <f aca="false">IF(B9="","",IFERROR(VLOOKUP(B9,'Item Master'!$A$4:$G$203,7,FALSE()),""))</f>
        <v>31</v>
      </c>
      <c r="G9" s="22" t="n">
        <v>31</v>
      </c>
      <c r="H9" s="23" t="n">
        <f aca="false">IF(OR(B9="",G9=""),"",G9-F9)</f>
        <v>0</v>
      </c>
      <c r="I9" s="24" t="n">
        <f aca="false">IF(H9="","",H9*IFERROR(VLOOKUP(B9,'Item Master'!$A$4:$G$203,6,FALSE()),0))</f>
        <v>0</v>
      </c>
      <c r="J9" s="25" t="n">
        <f aca="false">IF(OR(H9="",F9=0,F9=""),"",H9/F9)</f>
        <v>0</v>
      </c>
      <c r="K9" s="20" t="str">
        <f aca="false">IF(H9="","",IF(H9=0,"Match","Mismatch"))</f>
        <v>Match</v>
      </c>
      <c r="L9" s="26" t="s">
        <v>49</v>
      </c>
      <c r="M9" s="18" t="s">
        <v>52</v>
      </c>
      <c r="N9" s="26"/>
    </row>
    <row r="10" customFormat="false" ht="15" hidden="false" customHeight="false" outlineLevel="0" collapsed="false">
      <c r="A10" s="17" t="n">
        <v>45448</v>
      </c>
      <c r="B10" s="18" t="s">
        <v>57</v>
      </c>
      <c r="C10" s="19" t="str">
        <f aca="false">IFERROR(VLOOKUP(B10,'Item Master'!$A$4:$G$203,2,FALSE()),"")</f>
        <v>Hammer 16oz</v>
      </c>
      <c r="D10" s="19" t="str">
        <f aca="false">IFERROR(VLOOKUP(B10,'Item Master'!$A$4:$G$203,4,FALSE()),"")</f>
        <v>A1-03</v>
      </c>
      <c r="E10" s="20" t="str">
        <f aca="false">IFERROR(VLOOKUP(B10,'Item Master'!$A$4:$G$203,5,FALSE()),"")</f>
        <v>B</v>
      </c>
      <c r="F10" s="21" t="n">
        <f aca="false">IF(B10="","",IFERROR(VLOOKUP(B10,'Item Master'!$A$4:$G$203,7,FALSE()),""))</f>
        <v>118</v>
      </c>
      <c r="G10" s="22" t="n">
        <v>121</v>
      </c>
      <c r="H10" s="23" t="n">
        <f aca="false">IF(OR(B10="",G10=""),"",G10-F10)</f>
        <v>3</v>
      </c>
      <c r="I10" s="24" t="n">
        <f aca="false">IF(H10="","",H10*IFERROR(VLOOKUP(B10,'Item Master'!$A$4:$G$203,6,FALSE()),0))</f>
        <v>29.7</v>
      </c>
      <c r="J10" s="25" t="n">
        <f aca="false">IF(OR(H10="",F10=0,F10=""),"",H10/F10)</f>
        <v>0.0254237288135593</v>
      </c>
      <c r="K10" s="20" t="str">
        <f aca="false">IF(H10="","",IF(H10=0,"Match","Mismatch"))</f>
        <v>Mismatch</v>
      </c>
      <c r="L10" s="26" t="s">
        <v>49</v>
      </c>
      <c r="M10" s="18" t="s">
        <v>50</v>
      </c>
      <c r="N10" s="26"/>
    </row>
    <row r="11" customFormat="false" ht="15" hidden="false" customHeight="false" outlineLevel="0" collapsed="false">
      <c r="A11" s="17" t="n">
        <v>45448</v>
      </c>
      <c r="B11" s="18" t="s">
        <v>58</v>
      </c>
      <c r="C11" s="19" t="str">
        <f aca="false">IFERROR(VLOOKUP(B11,'Item Master'!$A$4:$G$203,2,FALSE()),"")</f>
        <v>Tape Measure 8m</v>
      </c>
      <c r="D11" s="19" t="str">
        <f aca="false">IFERROR(VLOOKUP(B11,'Item Master'!$A$4:$G$203,4,FALSE()),"")</f>
        <v>A1-04</v>
      </c>
      <c r="E11" s="20" t="str">
        <f aca="false">IFERROR(VLOOKUP(B11,'Item Master'!$A$4:$G$203,5,FALSE()),"")</f>
        <v>B</v>
      </c>
      <c r="F11" s="21" t="n">
        <f aca="false">IF(B11="","",IFERROR(VLOOKUP(B11,'Item Master'!$A$4:$G$203,7,FALSE()),""))</f>
        <v>205</v>
      </c>
      <c r="G11" s="22" t="n">
        <v>205</v>
      </c>
      <c r="H11" s="23" t="n">
        <f aca="false">IF(OR(B11="",G11=""),"",G11-F11)</f>
        <v>0</v>
      </c>
      <c r="I11" s="24" t="n">
        <f aca="false">IF(H11="","",H11*IFERROR(VLOOKUP(B11,'Item Master'!$A$4:$G$203,6,FALSE()),0))</f>
        <v>0</v>
      </c>
      <c r="J11" s="25" t="n">
        <f aca="false">IF(OR(H11="",F11=0,F11=""),"",H11/F11)</f>
        <v>0</v>
      </c>
      <c r="K11" s="20" t="str">
        <f aca="false">IF(H11="","",IF(H11=0,"Match","Mismatch"))</f>
        <v>Match</v>
      </c>
      <c r="L11" s="26" t="s">
        <v>49</v>
      </c>
      <c r="M11" s="18" t="s">
        <v>52</v>
      </c>
      <c r="N11" s="26"/>
    </row>
    <row r="12" customFormat="false" ht="15" hidden="false" customHeight="false" outlineLevel="0" collapsed="false">
      <c r="A12" s="17" t="n">
        <v>45448</v>
      </c>
      <c r="B12" s="18" t="s">
        <v>59</v>
      </c>
      <c r="C12" s="19" t="str">
        <f aca="false">IFERROR(VLOOKUP(B12,'Item Master'!$A$4:$G$203,2,FALSE()),"")</f>
        <v>Spirit Level 60cm</v>
      </c>
      <c r="D12" s="19" t="str">
        <f aca="false">IFERROR(VLOOKUP(B12,'Item Master'!$A$4:$G$203,4,FALSE()),"")</f>
        <v>A1-07</v>
      </c>
      <c r="E12" s="20" t="str">
        <f aca="false">IFERROR(VLOOKUP(B12,'Item Master'!$A$4:$G$203,5,FALSE()),"")</f>
        <v>B</v>
      </c>
      <c r="F12" s="21" t="n">
        <f aca="false">IF(B12="","",IFERROR(VLOOKUP(B12,'Item Master'!$A$4:$G$203,7,FALSE()),""))</f>
        <v>72</v>
      </c>
      <c r="G12" s="22" t="n">
        <v>70</v>
      </c>
      <c r="H12" s="23" t="n">
        <f aca="false">IF(OR(B12="",G12=""),"",G12-F12)</f>
        <v>-2</v>
      </c>
      <c r="I12" s="24" t="n">
        <f aca="false">IF(H12="","",H12*IFERROR(VLOOKUP(B12,'Item Master'!$A$4:$G$203,6,FALSE()),0))</f>
        <v>-22.8</v>
      </c>
      <c r="J12" s="25" t="n">
        <f aca="false">IF(OR(H12="",F12=0,F12=""),"",H12/F12)</f>
        <v>-0.0277777777777778</v>
      </c>
      <c r="K12" s="20" t="str">
        <f aca="false">IF(H12="","",IF(H12=0,"Match","Mismatch"))</f>
        <v>Mismatch</v>
      </c>
      <c r="L12" s="26" t="s">
        <v>49</v>
      </c>
      <c r="M12" s="18" t="s">
        <v>52</v>
      </c>
      <c r="N12" s="26"/>
    </row>
    <row r="13" customFormat="false" ht="15" hidden="false" customHeight="false" outlineLevel="0" collapsed="false">
      <c r="A13" s="17" t="n">
        <v>45449</v>
      </c>
      <c r="B13" s="18" t="s">
        <v>60</v>
      </c>
      <c r="C13" s="19" t="str">
        <f aca="false">IFERROR(VLOOKUP(B13,'Item Master'!$A$4:$G$203,2,FALSE()),"")</f>
        <v>Screws M4 (box 500)</v>
      </c>
      <c r="D13" s="19" t="str">
        <f aca="false">IFERROR(VLOOKUP(B13,'Item Master'!$A$4:$G$203,4,FALSE()),"")</f>
        <v>C1-01</v>
      </c>
      <c r="E13" s="20" t="str">
        <f aca="false">IFERROR(VLOOKUP(B13,'Item Master'!$A$4:$G$203,5,FALSE()),"")</f>
        <v>C</v>
      </c>
      <c r="F13" s="21" t="n">
        <f aca="false">IF(B13="","",IFERROR(VLOOKUP(B13,'Item Master'!$A$4:$G$203,7,FALSE()),""))</f>
        <v>420</v>
      </c>
      <c r="G13" s="22" t="n">
        <v>420</v>
      </c>
      <c r="H13" s="23" t="n">
        <f aca="false">IF(OR(B13="",G13=""),"",G13-F13)</f>
        <v>0</v>
      </c>
      <c r="I13" s="24" t="n">
        <f aca="false">IF(H13="","",H13*IFERROR(VLOOKUP(B13,'Item Master'!$A$4:$G$203,6,FALSE()),0))</f>
        <v>0</v>
      </c>
      <c r="J13" s="25" t="n">
        <f aca="false">IF(OR(H13="",F13=0,F13=""),"",H13/F13)</f>
        <v>0</v>
      </c>
      <c r="K13" s="20" t="str">
        <f aca="false">IF(H13="","",IF(H13=0,"Match","Mismatch"))</f>
        <v>Match</v>
      </c>
      <c r="L13" s="26" t="s">
        <v>49</v>
      </c>
      <c r="M13" s="18" t="s">
        <v>50</v>
      </c>
      <c r="N13" s="26"/>
    </row>
    <row r="14" customFormat="false" ht="15" hidden="false" customHeight="false" outlineLevel="0" collapsed="false">
      <c r="A14" s="17" t="n">
        <v>45449</v>
      </c>
      <c r="B14" s="18" t="s">
        <v>61</v>
      </c>
      <c r="C14" s="19" t="str">
        <f aca="false">IFERROR(VLOOKUP(B14,'Item Master'!$A$4:$G$203,2,FALSE()),"")</f>
        <v>Masking Tape 50m</v>
      </c>
      <c r="D14" s="19" t="str">
        <f aca="false">IFERROR(VLOOKUP(B14,'Item Master'!$A$4:$G$203,4,FALSE()),"")</f>
        <v>C2-02</v>
      </c>
      <c r="E14" s="20" t="str">
        <f aca="false">IFERROR(VLOOKUP(B14,'Item Master'!$A$4:$G$203,5,FALSE()),"")</f>
        <v>C</v>
      </c>
      <c r="F14" s="21" t="n">
        <f aca="false">IF(B14="","",IFERROR(VLOOKUP(B14,'Item Master'!$A$4:$G$203,7,FALSE()),""))</f>
        <v>720</v>
      </c>
      <c r="G14" s="22" t="n">
        <v>705</v>
      </c>
      <c r="H14" s="23" t="n">
        <f aca="false">IF(OR(B14="",G14=""),"",G14-F14)</f>
        <v>-15</v>
      </c>
      <c r="I14" s="24" t="n">
        <f aca="false">IF(H14="","",H14*IFERROR(VLOOKUP(B14,'Item Master'!$A$4:$G$203,6,FALSE()),0))</f>
        <v>-28.5</v>
      </c>
      <c r="J14" s="25" t="n">
        <f aca="false">IF(OR(H14="",F14=0,F14=""),"",H14/F14)</f>
        <v>-0.0208333333333333</v>
      </c>
      <c r="K14" s="20" t="str">
        <f aca="false">IF(H14="","",IF(H14=0,"Match","Mismatch"))</f>
        <v>Mismatch</v>
      </c>
      <c r="L14" s="26" t="s">
        <v>49</v>
      </c>
      <c r="M14" s="18" t="s">
        <v>52</v>
      </c>
      <c r="N14" s="26"/>
    </row>
    <row r="15" customFormat="false" ht="15" hidden="false" customHeight="false" outlineLevel="0" collapsed="false">
      <c r="A15" s="17" t="n">
        <v>45449</v>
      </c>
      <c r="B15" s="18" t="s">
        <v>62</v>
      </c>
      <c r="C15" s="19" t="str">
        <f aca="false">IFERROR(VLOOKUP(B15,'Item Master'!$A$4:$G$203,2,FALSE()),"")</f>
        <v>Safety Goggles</v>
      </c>
      <c r="D15" s="19" t="str">
        <f aca="false">IFERROR(VLOOKUP(B15,'Item Master'!$A$4:$G$203,4,FALSE()),"")</f>
        <v>A2-01</v>
      </c>
      <c r="E15" s="20" t="str">
        <f aca="false">IFERROR(VLOOKUP(B15,'Item Master'!$A$4:$G$203,5,FALSE()),"")</f>
        <v>C</v>
      </c>
      <c r="F15" s="21" t="n">
        <f aca="false">IF(B15="","",IFERROR(VLOOKUP(B15,'Item Master'!$A$4:$G$203,7,FALSE()),""))</f>
        <v>540</v>
      </c>
      <c r="G15" s="22" t="n">
        <v>540</v>
      </c>
      <c r="H15" s="23" t="n">
        <f aca="false">IF(OR(B15="",G15=""),"",G15-F15)</f>
        <v>0</v>
      </c>
      <c r="I15" s="24" t="n">
        <f aca="false">IF(H15="","",H15*IFERROR(VLOOKUP(B15,'Item Master'!$A$4:$G$203,6,FALSE()),0))</f>
        <v>0</v>
      </c>
      <c r="J15" s="25" t="n">
        <f aca="false">IF(OR(H15="",F15=0,F15=""),"",H15/F15)</f>
        <v>0</v>
      </c>
      <c r="K15" s="20" t="str">
        <f aca="false">IF(H15="","",IF(H15=0,"Match","Mismatch"))</f>
        <v>Match</v>
      </c>
      <c r="L15" s="26" t="s">
        <v>49</v>
      </c>
      <c r="M15" s="18" t="s">
        <v>52</v>
      </c>
      <c r="N15" s="26"/>
    </row>
    <row r="16" customFormat="false" ht="15" hidden="false" customHeight="false" outlineLevel="0" collapsed="false">
      <c r="A16" s="17"/>
      <c r="B16" s="18"/>
      <c r="C16" s="19" t="str">
        <f aca="false">IFERROR(VLOOKUP(B16,'Item Master'!$A$4:$G$203,2,FALSE()),"")</f>
        <v/>
      </c>
      <c r="D16" s="19" t="str">
        <f aca="false">IFERROR(VLOOKUP(B16,'Item Master'!$A$4:$G$203,4,FALSE()),"")</f>
        <v/>
      </c>
      <c r="E16" s="20" t="str">
        <f aca="false">IFERROR(VLOOKUP(B16,'Item Master'!$A$4:$G$203,5,FALSE()),"")</f>
        <v/>
      </c>
      <c r="F16" s="21" t="str">
        <f aca="false">IF(B16="","",IFERROR(VLOOKUP(B16,'Item Master'!$A$4:$G$203,7,FALSE()),""))</f>
        <v/>
      </c>
      <c r="G16" s="22"/>
      <c r="H16" s="23" t="str">
        <f aca="false">IF(OR(B16="",G16=""),"",G16-F16)</f>
        <v/>
      </c>
      <c r="I16" s="24" t="str">
        <f aca="false">IF(H16="","",H16*IFERROR(VLOOKUP(B16,'Item Master'!$A$4:$G$203,6,FALSE()),0))</f>
        <v/>
      </c>
      <c r="J16" s="25" t="str">
        <f aca="false">IF(OR(H16="",F16=0,F16=""),"",H16/F16)</f>
        <v/>
      </c>
      <c r="K16" s="20" t="str">
        <f aca="false">IF(H16="","",IF(H16=0,"Match","Mismatch"))</f>
        <v/>
      </c>
      <c r="L16" s="26"/>
      <c r="M16" s="18"/>
      <c r="N16" s="26"/>
    </row>
    <row r="17" customFormat="false" ht="15" hidden="false" customHeight="false" outlineLevel="0" collapsed="false">
      <c r="A17" s="17"/>
      <c r="B17" s="18"/>
      <c r="C17" s="19" t="str">
        <f aca="false">IFERROR(VLOOKUP(B17,'Item Master'!$A$4:$G$203,2,FALSE()),"")</f>
        <v/>
      </c>
      <c r="D17" s="19" t="str">
        <f aca="false">IFERROR(VLOOKUP(B17,'Item Master'!$A$4:$G$203,4,FALSE()),"")</f>
        <v/>
      </c>
      <c r="E17" s="20" t="str">
        <f aca="false">IFERROR(VLOOKUP(B17,'Item Master'!$A$4:$G$203,5,FALSE()),"")</f>
        <v/>
      </c>
      <c r="F17" s="21" t="str">
        <f aca="false">IF(B17="","",IFERROR(VLOOKUP(B17,'Item Master'!$A$4:$G$203,7,FALSE()),""))</f>
        <v/>
      </c>
      <c r="G17" s="22"/>
      <c r="H17" s="23" t="str">
        <f aca="false">IF(OR(B17="",G17=""),"",G17-F17)</f>
        <v/>
      </c>
      <c r="I17" s="24" t="str">
        <f aca="false">IF(H17="","",H17*IFERROR(VLOOKUP(B17,'Item Master'!$A$4:$G$203,6,FALSE()),0))</f>
        <v/>
      </c>
      <c r="J17" s="25" t="str">
        <f aca="false">IF(OR(H17="",F17=0,F17=""),"",H17/F17)</f>
        <v/>
      </c>
      <c r="K17" s="20" t="str">
        <f aca="false">IF(H17="","",IF(H17=0,"Match","Mismatch"))</f>
        <v/>
      </c>
      <c r="L17" s="26"/>
      <c r="M17" s="18"/>
      <c r="N17" s="26"/>
    </row>
    <row r="18" customFormat="false" ht="15" hidden="false" customHeight="false" outlineLevel="0" collapsed="false">
      <c r="A18" s="17"/>
      <c r="B18" s="18"/>
      <c r="C18" s="19" t="str">
        <f aca="false">IFERROR(VLOOKUP(B18,'Item Master'!$A$4:$G$203,2,FALSE()),"")</f>
        <v/>
      </c>
      <c r="D18" s="19" t="str">
        <f aca="false">IFERROR(VLOOKUP(B18,'Item Master'!$A$4:$G$203,4,FALSE()),"")</f>
        <v/>
      </c>
      <c r="E18" s="20" t="str">
        <f aca="false">IFERROR(VLOOKUP(B18,'Item Master'!$A$4:$G$203,5,FALSE()),"")</f>
        <v/>
      </c>
      <c r="F18" s="21" t="str">
        <f aca="false">IF(B18="","",IFERROR(VLOOKUP(B18,'Item Master'!$A$4:$G$203,7,FALSE()),""))</f>
        <v/>
      </c>
      <c r="G18" s="22"/>
      <c r="H18" s="23" t="str">
        <f aca="false">IF(OR(B18="",G18=""),"",G18-F18)</f>
        <v/>
      </c>
      <c r="I18" s="24" t="str">
        <f aca="false">IF(H18="","",H18*IFERROR(VLOOKUP(B18,'Item Master'!$A$4:$G$203,6,FALSE()),0))</f>
        <v/>
      </c>
      <c r="J18" s="25" t="str">
        <f aca="false">IF(OR(H18="",F18=0,F18=""),"",H18/F18)</f>
        <v/>
      </c>
      <c r="K18" s="20" t="str">
        <f aca="false">IF(H18="","",IF(H18=0,"Match","Mismatch"))</f>
        <v/>
      </c>
      <c r="L18" s="26"/>
      <c r="M18" s="18"/>
      <c r="N18" s="26"/>
    </row>
    <row r="19" customFormat="false" ht="15" hidden="false" customHeight="false" outlineLevel="0" collapsed="false">
      <c r="A19" s="17"/>
      <c r="B19" s="18"/>
      <c r="C19" s="19" t="str">
        <f aca="false">IFERROR(VLOOKUP(B19,'Item Master'!$A$4:$G$203,2,FALSE()),"")</f>
        <v/>
      </c>
      <c r="D19" s="19" t="str">
        <f aca="false">IFERROR(VLOOKUP(B19,'Item Master'!$A$4:$G$203,4,FALSE()),"")</f>
        <v/>
      </c>
      <c r="E19" s="20" t="str">
        <f aca="false">IFERROR(VLOOKUP(B19,'Item Master'!$A$4:$G$203,5,FALSE()),"")</f>
        <v/>
      </c>
      <c r="F19" s="21" t="str">
        <f aca="false">IF(B19="","",IFERROR(VLOOKUP(B19,'Item Master'!$A$4:$G$203,7,FALSE()),""))</f>
        <v/>
      </c>
      <c r="G19" s="22"/>
      <c r="H19" s="23" t="str">
        <f aca="false">IF(OR(B19="",G19=""),"",G19-F19)</f>
        <v/>
      </c>
      <c r="I19" s="24" t="str">
        <f aca="false">IF(H19="","",H19*IFERROR(VLOOKUP(B19,'Item Master'!$A$4:$G$203,6,FALSE()),0))</f>
        <v/>
      </c>
      <c r="J19" s="25" t="str">
        <f aca="false">IF(OR(H19="",F19=0,F19=""),"",H19/F19)</f>
        <v/>
      </c>
      <c r="K19" s="20" t="str">
        <f aca="false">IF(H19="","",IF(H19=0,"Match","Mismatch"))</f>
        <v/>
      </c>
      <c r="L19" s="26"/>
      <c r="M19" s="18"/>
      <c r="N19" s="26"/>
    </row>
    <row r="20" customFormat="false" ht="15" hidden="false" customHeight="false" outlineLevel="0" collapsed="false">
      <c r="A20" s="17"/>
      <c r="B20" s="18"/>
      <c r="C20" s="19" t="str">
        <f aca="false">IFERROR(VLOOKUP(B20,'Item Master'!$A$4:$G$203,2,FALSE()),"")</f>
        <v/>
      </c>
      <c r="D20" s="19" t="str">
        <f aca="false">IFERROR(VLOOKUP(B20,'Item Master'!$A$4:$G$203,4,FALSE()),"")</f>
        <v/>
      </c>
      <c r="E20" s="20" t="str">
        <f aca="false">IFERROR(VLOOKUP(B20,'Item Master'!$A$4:$G$203,5,FALSE()),"")</f>
        <v/>
      </c>
      <c r="F20" s="21" t="str">
        <f aca="false">IF(B20="","",IFERROR(VLOOKUP(B20,'Item Master'!$A$4:$G$203,7,FALSE()),""))</f>
        <v/>
      </c>
      <c r="G20" s="22"/>
      <c r="H20" s="23" t="str">
        <f aca="false">IF(OR(B20="",G20=""),"",G20-F20)</f>
        <v/>
      </c>
      <c r="I20" s="24" t="str">
        <f aca="false">IF(H20="","",H20*IFERROR(VLOOKUP(B20,'Item Master'!$A$4:$G$203,6,FALSE()),0))</f>
        <v/>
      </c>
      <c r="J20" s="25" t="str">
        <f aca="false">IF(OR(H20="",F20=0,F20=""),"",H20/F20)</f>
        <v/>
      </c>
      <c r="K20" s="20" t="str">
        <f aca="false">IF(H20="","",IF(H20=0,"Match","Mismatch"))</f>
        <v/>
      </c>
      <c r="L20" s="26"/>
      <c r="M20" s="18"/>
      <c r="N20" s="26"/>
    </row>
    <row r="21" customFormat="false" ht="15" hidden="false" customHeight="false" outlineLevel="0" collapsed="false">
      <c r="A21" s="17"/>
      <c r="B21" s="18"/>
      <c r="C21" s="19" t="str">
        <f aca="false">IFERROR(VLOOKUP(B21,'Item Master'!$A$4:$G$203,2,FALSE()),"")</f>
        <v/>
      </c>
      <c r="D21" s="19" t="str">
        <f aca="false">IFERROR(VLOOKUP(B21,'Item Master'!$A$4:$G$203,4,FALSE()),"")</f>
        <v/>
      </c>
      <c r="E21" s="20" t="str">
        <f aca="false">IFERROR(VLOOKUP(B21,'Item Master'!$A$4:$G$203,5,FALSE()),"")</f>
        <v/>
      </c>
      <c r="F21" s="21" t="str">
        <f aca="false">IF(B21="","",IFERROR(VLOOKUP(B21,'Item Master'!$A$4:$G$203,7,FALSE()),""))</f>
        <v/>
      </c>
      <c r="G21" s="22"/>
      <c r="H21" s="23" t="str">
        <f aca="false">IF(OR(B21="",G21=""),"",G21-F21)</f>
        <v/>
      </c>
      <c r="I21" s="24" t="str">
        <f aca="false">IF(H21="","",H21*IFERROR(VLOOKUP(B21,'Item Master'!$A$4:$G$203,6,FALSE()),0))</f>
        <v/>
      </c>
      <c r="J21" s="25" t="str">
        <f aca="false">IF(OR(H21="",F21=0,F21=""),"",H21/F21)</f>
        <v/>
      </c>
      <c r="K21" s="20" t="str">
        <f aca="false">IF(H21="","",IF(H21=0,"Match","Mismatch"))</f>
        <v/>
      </c>
      <c r="L21" s="26"/>
      <c r="M21" s="18"/>
      <c r="N21" s="26"/>
    </row>
    <row r="22" customFormat="false" ht="15" hidden="false" customHeight="false" outlineLevel="0" collapsed="false">
      <c r="A22" s="17"/>
      <c r="B22" s="18"/>
      <c r="C22" s="19" t="str">
        <f aca="false">IFERROR(VLOOKUP(B22,'Item Master'!$A$4:$G$203,2,FALSE()),"")</f>
        <v/>
      </c>
      <c r="D22" s="19" t="str">
        <f aca="false">IFERROR(VLOOKUP(B22,'Item Master'!$A$4:$G$203,4,FALSE()),"")</f>
        <v/>
      </c>
      <c r="E22" s="20" t="str">
        <f aca="false">IFERROR(VLOOKUP(B22,'Item Master'!$A$4:$G$203,5,FALSE()),"")</f>
        <v/>
      </c>
      <c r="F22" s="21" t="str">
        <f aca="false">IF(B22="","",IFERROR(VLOOKUP(B22,'Item Master'!$A$4:$G$203,7,FALSE()),""))</f>
        <v/>
      </c>
      <c r="G22" s="22"/>
      <c r="H22" s="23" t="str">
        <f aca="false">IF(OR(B22="",G22=""),"",G22-F22)</f>
        <v/>
      </c>
      <c r="I22" s="24" t="str">
        <f aca="false">IF(H22="","",H22*IFERROR(VLOOKUP(B22,'Item Master'!$A$4:$G$203,6,FALSE()),0))</f>
        <v/>
      </c>
      <c r="J22" s="25" t="str">
        <f aca="false">IF(OR(H22="",F22=0,F22=""),"",H22/F22)</f>
        <v/>
      </c>
      <c r="K22" s="20" t="str">
        <f aca="false">IF(H22="","",IF(H22=0,"Match","Mismatch"))</f>
        <v/>
      </c>
      <c r="L22" s="26"/>
      <c r="M22" s="18"/>
      <c r="N22" s="26"/>
    </row>
    <row r="23" customFormat="false" ht="15" hidden="false" customHeight="false" outlineLevel="0" collapsed="false">
      <c r="A23" s="17"/>
      <c r="B23" s="18"/>
      <c r="C23" s="19" t="str">
        <f aca="false">IFERROR(VLOOKUP(B23,'Item Master'!$A$4:$G$203,2,FALSE()),"")</f>
        <v/>
      </c>
      <c r="D23" s="19" t="str">
        <f aca="false">IFERROR(VLOOKUP(B23,'Item Master'!$A$4:$G$203,4,FALSE()),"")</f>
        <v/>
      </c>
      <c r="E23" s="20" t="str">
        <f aca="false">IFERROR(VLOOKUP(B23,'Item Master'!$A$4:$G$203,5,FALSE()),"")</f>
        <v/>
      </c>
      <c r="F23" s="21" t="str">
        <f aca="false">IF(B23="","",IFERROR(VLOOKUP(B23,'Item Master'!$A$4:$G$203,7,FALSE()),""))</f>
        <v/>
      </c>
      <c r="G23" s="22"/>
      <c r="H23" s="23" t="str">
        <f aca="false">IF(OR(B23="",G23=""),"",G23-F23)</f>
        <v/>
      </c>
      <c r="I23" s="24" t="str">
        <f aca="false">IF(H23="","",H23*IFERROR(VLOOKUP(B23,'Item Master'!$A$4:$G$203,6,FALSE()),0))</f>
        <v/>
      </c>
      <c r="J23" s="25" t="str">
        <f aca="false">IF(OR(H23="",F23=0,F23=""),"",H23/F23)</f>
        <v/>
      </c>
      <c r="K23" s="20" t="str">
        <f aca="false">IF(H23="","",IF(H23=0,"Match","Mismatch"))</f>
        <v/>
      </c>
      <c r="L23" s="26"/>
      <c r="M23" s="18"/>
      <c r="N23" s="26"/>
    </row>
    <row r="24" customFormat="false" ht="15" hidden="false" customHeight="false" outlineLevel="0" collapsed="false">
      <c r="A24" s="17"/>
      <c r="B24" s="18"/>
      <c r="C24" s="19" t="str">
        <f aca="false">IFERROR(VLOOKUP(B24,'Item Master'!$A$4:$G$203,2,FALSE()),"")</f>
        <v/>
      </c>
      <c r="D24" s="19" t="str">
        <f aca="false">IFERROR(VLOOKUP(B24,'Item Master'!$A$4:$G$203,4,FALSE()),"")</f>
        <v/>
      </c>
      <c r="E24" s="20" t="str">
        <f aca="false">IFERROR(VLOOKUP(B24,'Item Master'!$A$4:$G$203,5,FALSE()),"")</f>
        <v/>
      </c>
      <c r="F24" s="21" t="str">
        <f aca="false">IF(B24="","",IFERROR(VLOOKUP(B24,'Item Master'!$A$4:$G$203,7,FALSE()),""))</f>
        <v/>
      </c>
      <c r="G24" s="22"/>
      <c r="H24" s="23" t="str">
        <f aca="false">IF(OR(B24="",G24=""),"",G24-F24)</f>
        <v/>
      </c>
      <c r="I24" s="24" t="str">
        <f aca="false">IF(H24="","",H24*IFERROR(VLOOKUP(B24,'Item Master'!$A$4:$G$203,6,FALSE()),0))</f>
        <v/>
      </c>
      <c r="J24" s="25" t="str">
        <f aca="false">IF(OR(H24="",F24=0,F24=""),"",H24/F24)</f>
        <v/>
      </c>
      <c r="K24" s="20" t="str">
        <f aca="false">IF(H24="","",IF(H24=0,"Match","Mismatch"))</f>
        <v/>
      </c>
      <c r="L24" s="26"/>
      <c r="M24" s="18"/>
      <c r="N24" s="26"/>
    </row>
    <row r="25" customFormat="false" ht="15" hidden="false" customHeight="false" outlineLevel="0" collapsed="false">
      <c r="A25" s="17"/>
      <c r="B25" s="18"/>
      <c r="C25" s="19" t="str">
        <f aca="false">IFERROR(VLOOKUP(B25,'Item Master'!$A$4:$G$203,2,FALSE()),"")</f>
        <v/>
      </c>
      <c r="D25" s="19" t="str">
        <f aca="false">IFERROR(VLOOKUP(B25,'Item Master'!$A$4:$G$203,4,FALSE()),"")</f>
        <v/>
      </c>
      <c r="E25" s="20" t="str">
        <f aca="false">IFERROR(VLOOKUP(B25,'Item Master'!$A$4:$G$203,5,FALSE()),"")</f>
        <v/>
      </c>
      <c r="F25" s="21" t="str">
        <f aca="false">IF(B25="","",IFERROR(VLOOKUP(B25,'Item Master'!$A$4:$G$203,7,FALSE()),""))</f>
        <v/>
      </c>
      <c r="G25" s="22"/>
      <c r="H25" s="23" t="str">
        <f aca="false">IF(OR(B25="",G25=""),"",G25-F25)</f>
        <v/>
      </c>
      <c r="I25" s="24" t="str">
        <f aca="false">IF(H25="","",H25*IFERROR(VLOOKUP(B25,'Item Master'!$A$4:$G$203,6,FALSE()),0))</f>
        <v/>
      </c>
      <c r="J25" s="25" t="str">
        <f aca="false">IF(OR(H25="",F25=0,F25=""),"",H25/F25)</f>
        <v/>
      </c>
      <c r="K25" s="20" t="str">
        <f aca="false">IF(H25="","",IF(H25=0,"Match","Mismatch"))</f>
        <v/>
      </c>
      <c r="L25" s="26"/>
      <c r="M25" s="18"/>
      <c r="N25" s="26"/>
    </row>
    <row r="26" customFormat="false" ht="15" hidden="false" customHeight="false" outlineLevel="0" collapsed="false">
      <c r="A26" s="17"/>
      <c r="B26" s="18"/>
      <c r="C26" s="19" t="str">
        <f aca="false">IFERROR(VLOOKUP(B26,'Item Master'!$A$4:$G$203,2,FALSE()),"")</f>
        <v/>
      </c>
      <c r="D26" s="19" t="str">
        <f aca="false">IFERROR(VLOOKUP(B26,'Item Master'!$A$4:$G$203,4,FALSE()),"")</f>
        <v/>
      </c>
      <c r="E26" s="20" t="str">
        <f aca="false">IFERROR(VLOOKUP(B26,'Item Master'!$A$4:$G$203,5,FALSE()),"")</f>
        <v/>
      </c>
      <c r="F26" s="21" t="str">
        <f aca="false">IF(B26="","",IFERROR(VLOOKUP(B26,'Item Master'!$A$4:$G$203,7,FALSE()),""))</f>
        <v/>
      </c>
      <c r="G26" s="22"/>
      <c r="H26" s="23" t="str">
        <f aca="false">IF(OR(B26="",G26=""),"",G26-F26)</f>
        <v/>
      </c>
      <c r="I26" s="24" t="str">
        <f aca="false">IF(H26="","",H26*IFERROR(VLOOKUP(B26,'Item Master'!$A$4:$G$203,6,FALSE()),0))</f>
        <v/>
      </c>
      <c r="J26" s="25" t="str">
        <f aca="false">IF(OR(H26="",F26=0,F26=""),"",H26/F26)</f>
        <v/>
      </c>
      <c r="K26" s="20" t="str">
        <f aca="false">IF(H26="","",IF(H26=0,"Match","Mismatch"))</f>
        <v/>
      </c>
      <c r="L26" s="26"/>
      <c r="M26" s="18"/>
      <c r="N26" s="26"/>
    </row>
    <row r="27" customFormat="false" ht="15" hidden="false" customHeight="false" outlineLevel="0" collapsed="false">
      <c r="A27" s="17"/>
      <c r="B27" s="18"/>
      <c r="C27" s="19" t="str">
        <f aca="false">IFERROR(VLOOKUP(B27,'Item Master'!$A$4:$G$203,2,FALSE()),"")</f>
        <v/>
      </c>
      <c r="D27" s="19" t="str">
        <f aca="false">IFERROR(VLOOKUP(B27,'Item Master'!$A$4:$G$203,4,FALSE()),"")</f>
        <v/>
      </c>
      <c r="E27" s="20" t="str">
        <f aca="false">IFERROR(VLOOKUP(B27,'Item Master'!$A$4:$G$203,5,FALSE()),"")</f>
        <v/>
      </c>
      <c r="F27" s="21" t="str">
        <f aca="false">IF(B27="","",IFERROR(VLOOKUP(B27,'Item Master'!$A$4:$G$203,7,FALSE()),""))</f>
        <v/>
      </c>
      <c r="G27" s="22"/>
      <c r="H27" s="23" t="str">
        <f aca="false">IF(OR(B27="",G27=""),"",G27-F27)</f>
        <v/>
      </c>
      <c r="I27" s="24" t="str">
        <f aca="false">IF(H27="","",H27*IFERROR(VLOOKUP(B27,'Item Master'!$A$4:$G$203,6,FALSE()),0))</f>
        <v/>
      </c>
      <c r="J27" s="25" t="str">
        <f aca="false">IF(OR(H27="",F27=0,F27=""),"",H27/F27)</f>
        <v/>
      </c>
      <c r="K27" s="20" t="str">
        <f aca="false">IF(H27="","",IF(H27=0,"Match","Mismatch"))</f>
        <v/>
      </c>
      <c r="L27" s="26"/>
      <c r="M27" s="18"/>
      <c r="N27" s="26"/>
    </row>
    <row r="28" customFormat="false" ht="15" hidden="false" customHeight="false" outlineLevel="0" collapsed="false">
      <c r="A28" s="17"/>
      <c r="B28" s="18"/>
      <c r="C28" s="19" t="str">
        <f aca="false">IFERROR(VLOOKUP(B28,'Item Master'!$A$4:$G$203,2,FALSE()),"")</f>
        <v/>
      </c>
      <c r="D28" s="19" t="str">
        <f aca="false">IFERROR(VLOOKUP(B28,'Item Master'!$A$4:$G$203,4,FALSE()),"")</f>
        <v/>
      </c>
      <c r="E28" s="20" t="str">
        <f aca="false">IFERROR(VLOOKUP(B28,'Item Master'!$A$4:$G$203,5,FALSE()),"")</f>
        <v/>
      </c>
      <c r="F28" s="21" t="str">
        <f aca="false">IF(B28="","",IFERROR(VLOOKUP(B28,'Item Master'!$A$4:$G$203,7,FALSE()),""))</f>
        <v/>
      </c>
      <c r="G28" s="22"/>
      <c r="H28" s="23" t="str">
        <f aca="false">IF(OR(B28="",G28=""),"",G28-F28)</f>
        <v/>
      </c>
      <c r="I28" s="24" t="str">
        <f aca="false">IF(H28="","",H28*IFERROR(VLOOKUP(B28,'Item Master'!$A$4:$G$203,6,FALSE()),0))</f>
        <v/>
      </c>
      <c r="J28" s="25" t="str">
        <f aca="false">IF(OR(H28="",F28=0,F28=""),"",H28/F28)</f>
        <v/>
      </c>
      <c r="K28" s="20" t="str">
        <f aca="false">IF(H28="","",IF(H28=0,"Match","Mismatch"))</f>
        <v/>
      </c>
      <c r="L28" s="26"/>
      <c r="M28" s="18"/>
      <c r="N28" s="26"/>
    </row>
    <row r="29" customFormat="false" ht="15" hidden="false" customHeight="false" outlineLevel="0" collapsed="false">
      <c r="A29" s="17"/>
      <c r="B29" s="18"/>
      <c r="C29" s="19" t="str">
        <f aca="false">IFERROR(VLOOKUP(B29,'Item Master'!$A$4:$G$203,2,FALSE()),"")</f>
        <v/>
      </c>
      <c r="D29" s="19" t="str">
        <f aca="false">IFERROR(VLOOKUP(B29,'Item Master'!$A$4:$G$203,4,FALSE()),"")</f>
        <v/>
      </c>
      <c r="E29" s="20" t="str">
        <f aca="false">IFERROR(VLOOKUP(B29,'Item Master'!$A$4:$G$203,5,FALSE()),"")</f>
        <v/>
      </c>
      <c r="F29" s="21" t="str">
        <f aca="false">IF(B29="","",IFERROR(VLOOKUP(B29,'Item Master'!$A$4:$G$203,7,FALSE()),""))</f>
        <v/>
      </c>
      <c r="G29" s="22"/>
      <c r="H29" s="23" t="str">
        <f aca="false">IF(OR(B29="",G29=""),"",G29-F29)</f>
        <v/>
      </c>
      <c r="I29" s="24" t="str">
        <f aca="false">IF(H29="","",H29*IFERROR(VLOOKUP(B29,'Item Master'!$A$4:$G$203,6,FALSE()),0))</f>
        <v/>
      </c>
      <c r="J29" s="25" t="str">
        <f aca="false">IF(OR(H29="",F29=0,F29=""),"",H29/F29)</f>
        <v/>
      </c>
      <c r="K29" s="20" t="str">
        <f aca="false">IF(H29="","",IF(H29=0,"Match","Mismatch"))</f>
        <v/>
      </c>
      <c r="L29" s="26"/>
      <c r="M29" s="18"/>
      <c r="N29" s="26"/>
    </row>
    <row r="30" customFormat="false" ht="15" hidden="false" customHeight="false" outlineLevel="0" collapsed="false">
      <c r="A30" s="17"/>
      <c r="B30" s="18"/>
      <c r="C30" s="19" t="str">
        <f aca="false">IFERROR(VLOOKUP(B30,'Item Master'!$A$4:$G$203,2,FALSE()),"")</f>
        <v/>
      </c>
      <c r="D30" s="19" t="str">
        <f aca="false">IFERROR(VLOOKUP(B30,'Item Master'!$A$4:$G$203,4,FALSE()),"")</f>
        <v/>
      </c>
      <c r="E30" s="20" t="str">
        <f aca="false">IFERROR(VLOOKUP(B30,'Item Master'!$A$4:$G$203,5,FALSE()),"")</f>
        <v/>
      </c>
      <c r="F30" s="21" t="str">
        <f aca="false">IF(B30="","",IFERROR(VLOOKUP(B30,'Item Master'!$A$4:$G$203,7,FALSE()),""))</f>
        <v/>
      </c>
      <c r="G30" s="22"/>
      <c r="H30" s="23" t="str">
        <f aca="false">IF(OR(B30="",G30=""),"",G30-F30)</f>
        <v/>
      </c>
      <c r="I30" s="24" t="str">
        <f aca="false">IF(H30="","",H30*IFERROR(VLOOKUP(B30,'Item Master'!$A$4:$G$203,6,FALSE()),0))</f>
        <v/>
      </c>
      <c r="J30" s="25" t="str">
        <f aca="false">IF(OR(H30="",F30=0,F30=""),"",H30/F30)</f>
        <v/>
      </c>
      <c r="K30" s="20" t="str">
        <f aca="false">IF(H30="","",IF(H30=0,"Match","Mismatch"))</f>
        <v/>
      </c>
      <c r="L30" s="26"/>
      <c r="M30" s="18"/>
      <c r="N30" s="26"/>
    </row>
    <row r="31" customFormat="false" ht="15" hidden="false" customHeight="false" outlineLevel="0" collapsed="false">
      <c r="A31" s="17"/>
      <c r="B31" s="18"/>
      <c r="C31" s="19" t="str">
        <f aca="false">IFERROR(VLOOKUP(B31,'Item Master'!$A$4:$G$203,2,FALSE()),"")</f>
        <v/>
      </c>
      <c r="D31" s="19" t="str">
        <f aca="false">IFERROR(VLOOKUP(B31,'Item Master'!$A$4:$G$203,4,FALSE()),"")</f>
        <v/>
      </c>
      <c r="E31" s="20" t="str">
        <f aca="false">IFERROR(VLOOKUP(B31,'Item Master'!$A$4:$G$203,5,FALSE()),"")</f>
        <v/>
      </c>
      <c r="F31" s="21" t="str">
        <f aca="false">IF(B31="","",IFERROR(VLOOKUP(B31,'Item Master'!$A$4:$G$203,7,FALSE()),""))</f>
        <v/>
      </c>
      <c r="G31" s="22"/>
      <c r="H31" s="23" t="str">
        <f aca="false">IF(OR(B31="",G31=""),"",G31-F31)</f>
        <v/>
      </c>
      <c r="I31" s="24" t="str">
        <f aca="false">IF(H31="","",H31*IFERROR(VLOOKUP(B31,'Item Master'!$A$4:$G$203,6,FALSE()),0))</f>
        <v/>
      </c>
      <c r="J31" s="25" t="str">
        <f aca="false">IF(OR(H31="",F31=0,F31=""),"",H31/F31)</f>
        <v/>
      </c>
      <c r="K31" s="20" t="str">
        <f aca="false">IF(H31="","",IF(H31=0,"Match","Mismatch"))</f>
        <v/>
      </c>
      <c r="L31" s="26"/>
      <c r="M31" s="18"/>
      <c r="N31" s="26"/>
    </row>
    <row r="32" customFormat="false" ht="15" hidden="false" customHeight="false" outlineLevel="0" collapsed="false">
      <c r="A32" s="17"/>
      <c r="B32" s="18"/>
      <c r="C32" s="19" t="str">
        <f aca="false">IFERROR(VLOOKUP(B32,'Item Master'!$A$4:$G$203,2,FALSE()),"")</f>
        <v/>
      </c>
      <c r="D32" s="19" t="str">
        <f aca="false">IFERROR(VLOOKUP(B32,'Item Master'!$A$4:$G$203,4,FALSE()),"")</f>
        <v/>
      </c>
      <c r="E32" s="20" t="str">
        <f aca="false">IFERROR(VLOOKUP(B32,'Item Master'!$A$4:$G$203,5,FALSE()),"")</f>
        <v/>
      </c>
      <c r="F32" s="21" t="str">
        <f aca="false">IF(B32="","",IFERROR(VLOOKUP(B32,'Item Master'!$A$4:$G$203,7,FALSE()),""))</f>
        <v/>
      </c>
      <c r="G32" s="22"/>
      <c r="H32" s="23" t="str">
        <f aca="false">IF(OR(B32="",G32=""),"",G32-F32)</f>
        <v/>
      </c>
      <c r="I32" s="24" t="str">
        <f aca="false">IF(H32="","",H32*IFERROR(VLOOKUP(B32,'Item Master'!$A$4:$G$203,6,FALSE()),0))</f>
        <v/>
      </c>
      <c r="J32" s="25" t="str">
        <f aca="false">IF(OR(H32="",F32=0,F32=""),"",H32/F32)</f>
        <v/>
      </c>
      <c r="K32" s="20" t="str">
        <f aca="false">IF(H32="","",IF(H32=0,"Match","Mismatch"))</f>
        <v/>
      </c>
      <c r="L32" s="26"/>
      <c r="M32" s="18"/>
      <c r="N32" s="26"/>
    </row>
    <row r="33" customFormat="false" ht="15" hidden="false" customHeight="false" outlineLevel="0" collapsed="false">
      <c r="A33" s="17"/>
      <c r="B33" s="18"/>
      <c r="C33" s="19" t="str">
        <f aca="false">IFERROR(VLOOKUP(B33,'Item Master'!$A$4:$G$203,2,FALSE()),"")</f>
        <v/>
      </c>
      <c r="D33" s="19" t="str">
        <f aca="false">IFERROR(VLOOKUP(B33,'Item Master'!$A$4:$G$203,4,FALSE()),"")</f>
        <v/>
      </c>
      <c r="E33" s="20" t="str">
        <f aca="false">IFERROR(VLOOKUP(B33,'Item Master'!$A$4:$G$203,5,FALSE()),"")</f>
        <v/>
      </c>
      <c r="F33" s="21" t="str">
        <f aca="false">IF(B33="","",IFERROR(VLOOKUP(B33,'Item Master'!$A$4:$G$203,7,FALSE()),""))</f>
        <v/>
      </c>
      <c r="G33" s="22"/>
      <c r="H33" s="23" t="str">
        <f aca="false">IF(OR(B33="",G33=""),"",G33-F33)</f>
        <v/>
      </c>
      <c r="I33" s="24" t="str">
        <f aca="false">IF(H33="","",H33*IFERROR(VLOOKUP(B33,'Item Master'!$A$4:$G$203,6,FALSE()),0))</f>
        <v/>
      </c>
      <c r="J33" s="25" t="str">
        <f aca="false">IF(OR(H33="",F33=0,F33=""),"",H33/F33)</f>
        <v/>
      </c>
      <c r="K33" s="20" t="str">
        <f aca="false">IF(H33="","",IF(H33=0,"Match","Mismatch"))</f>
        <v/>
      </c>
      <c r="L33" s="26"/>
      <c r="M33" s="18"/>
      <c r="N33" s="26"/>
    </row>
    <row r="34" customFormat="false" ht="15" hidden="false" customHeight="false" outlineLevel="0" collapsed="false">
      <c r="A34" s="17"/>
      <c r="B34" s="18"/>
      <c r="C34" s="19" t="str">
        <f aca="false">IFERROR(VLOOKUP(B34,'Item Master'!$A$4:$G$203,2,FALSE()),"")</f>
        <v/>
      </c>
      <c r="D34" s="19" t="str">
        <f aca="false">IFERROR(VLOOKUP(B34,'Item Master'!$A$4:$G$203,4,FALSE()),"")</f>
        <v/>
      </c>
      <c r="E34" s="20" t="str">
        <f aca="false">IFERROR(VLOOKUP(B34,'Item Master'!$A$4:$G$203,5,FALSE()),"")</f>
        <v/>
      </c>
      <c r="F34" s="21" t="str">
        <f aca="false">IF(B34="","",IFERROR(VLOOKUP(B34,'Item Master'!$A$4:$G$203,7,FALSE()),""))</f>
        <v/>
      </c>
      <c r="G34" s="22"/>
      <c r="H34" s="23" t="str">
        <f aca="false">IF(OR(B34="",G34=""),"",G34-F34)</f>
        <v/>
      </c>
      <c r="I34" s="24" t="str">
        <f aca="false">IF(H34="","",H34*IFERROR(VLOOKUP(B34,'Item Master'!$A$4:$G$203,6,FALSE()),0))</f>
        <v/>
      </c>
      <c r="J34" s="25" t="str">
        <f aca="false">IF(OR(H34="",F34=0,F34=""),"",H34/F34)</f>
        <v/>
      </c>
      <c r="K34" s="20" t="str">
        <f aca="false">IF(H34="","",IF(H34=0,"Match","Mismatch"))</f>
        <v/>
      </c>
      <c r="L34" s="26"/>
      <c r="M34" s="18"/>
      <c r="N34" s="26"/>
    </row>
    <row r="35" customFormat="false" ht="15" hidden="false" customHeight="false" outlineLevel="0" collapsed="false">
      <c r="A35" s="17"/>
      <c r="B35" s="18"/>
      <c r="C35" s="19" t="str">
        <f aca="false">IFERROR(VLOOKUP(B35,'Item Master'!$A$4:$G$203,2,FALSE()),"")</f>
        <v/>
      </c>
      <c r="D35" s="19" t="str">
        <f aca="false">IFERROR(VLOOKUP(B35,'Item Master'!$A$4:$G$203,4,FALSE()),"")</f>
        <v/>
      </c>
      <c r="E35" s="20" t="str">
        <f aca="false">IFERROR(VLOOKUP(B35,'Item Master'!$A$4:$G$203,5,FALSE()),"")</f>
        <v/>
      </c>
      <c r="F35" s="21" t="str">
        <f aca="false">IF(B35="","",IFERROR(VLOOKUP(B35,'Item Master'!$A$4:$G$203,7,FALSE()),""))</f>
        <v/>
      </c>
      <c r="G35" s="22"/>
      <c r="H35" s="23" t="str">
        <f aca="false">IF(OR(B35="",G35=""),"",G35-F35)</f>
        <v/>
      </c>
      <c r="I35" s="24" t="str">
        <f aca="false">IF(H35="","",H35*IFERROR(VLOOKUP(B35,'Item Master'!$A$4:$G$203,6,FALSE()),0))</f>
        <v/>
      </c>
      <c r="J35" s="25" t="str">
        <f aca="false">IF(OR(H35="",F35=0,F35=""),"",H35/F35)</f>
        <v/>
      </c>
      <c r="K35" s="20" t="str">
        <f aca="false">IF(H35="","",IF(H35=0,"Match","Mismatch"))</f>
        <v/>
      </c>
      <c r="L35" s="26"/>
      <c r="M35" s="18"/>
      <c r="N35" s="26"/>
    </row>
    <row r="36" customFormat="false" ht="15" hidden="false" customHeight="false" outlineLevel="0" collapsed="false">
      <c r="A36" s="17"/>
      <c r="B36" s="18"/>
      <c r="C36" s="19" t="str">
        <f aca="false">IFERROR(VLOOKUP(B36,'Item Master'!$A$4:$G$203,2,FALSE()),"")</f>
        <v/>
      </c>
      <c r="D36" s="19" t="str">
        <f aca="false">IFERROR(VLOOKUP(B36,'Item Master'!$A$4:$G$203,4,FALSE()),"")</f>
        <v/>
      </c>
      <c r="E36" s="20" t="str">
        <f aca="false">IFERROR(VLOOKUP(B36,'Item Master'!$A$4:$G$203,5,FALSE()),"")</f>
        <v/>
      </c>
      <c r="F36" s="21" t="str">
        <f aca="false">IF(B36="","",IFERROR(VLOOKUP(B36,'Item Master'!$A$4:$G$203,7,FALSE()),""))</f>
        <v/>
      </c>
      <c r="G36" s="22"/>
      <c r="H36" s="23" t="str">
        <f aca="false">IF(OR(B36="",G36=""),"",G36-F36)</f>
        <v/>
      </c>
      <c r="I36" s="24" t="str">
        <f aca="false">IF(H36="","",H36*IFERROR(VLOOKUP(B36,'Item Master'!$A$4:$G$203,6,FALSE()),0))</f>
        <v/>
      </c>
      <c r="J36" s="25" t="str">
        <f aca="false">IF(OR(H36="",F36=0,F36=""),"",H36/F36)</f>
        <v/>
      </c>
      <c r="K36" s="20" t="str">
        <f aca="false">IF(H36="","",IF(H36=0,"Match","Mismatch"))</f>
        <v/>
      </c>
      <c r="L36" s="26"/>
      <c r="M36" s="18"/>
      <c r="N36" s="26"/>
    </row>
    <row r="37" customFormat="false" ht="15" hidden="false" customHeight="false" outlineLevel="0" collapsed="false">
      <c r="A37" s="17"/>
      <c r="B37" s="18"/>
      <c r="C37" s="19" t="str">
        <f aca="false">IFERROR(VLOOKUP(B37,'Item Master'!$A$4:$G$203,2,FALSE()),"")</f>
        <v/>
      </c>
      <c r="D37" s="19" t="str">
        <f aca="false">IFERROR(VLOOKUP(B37,'Item Master'!$A$4:$G$203,4,FALSE()),"")</f>
        <v/>
      </c>
      <c r="E37" s="20" t="str">
        <f aca="false">IFERROR(VLOOKUP(B37,'Item Master'!$A$4:$G$203,5,FALSE()),"")</f>
        <v/>
      </c>
      <c r="F37" s="21" t="str">
        <f aca="false">IF(B37="","",IFERROR(VLOOKUP(B37,'Item Master'!$A$4:$G$203,7,FALSE()),""))</f>
        <v/>
      </c>
      <c r="G37" s="22"/>
      <c r="H37" s="23" t="str">
        <f aca="false">IF(OR(B37="",G37=""),"",G37-F37)</f>
        <v/>
      </c>
      <c r="I37" s="24" t="str">
        <f aca="false">IF(H37="","",H37*IFERROR(VLOOKUP(B37,'Item Master'!$A$4:$G$203,6,FALSE()),0))</f>
        <v/>
      </c>
      <c r="J37" s="25" t="str">
        <f aca="false">IF(OR(H37="",F37=0,F37=""),"",H37/F37)</f>
        <v/>
      </c>
      <c r="K37" s="20" t="str">
        <f aca="false">IF(H37="","",IF(H37=0,"Match","Mismatch"))</f>
        <v/>
      </c>
      <c r="L37" s="26"/>
      <c r="M37" s="18"/>
      <c r="N37" s="26"/>
    </row>
    <row r="38" customFormat="false" ht="15" hidden="false" customHeight="false" outlineLevel="0" collapsed="false">
      <c r="A38" s="17"/>
      <c r="B38" s="18"/>
      <c r="C38" s="19" t="str">
        <f aca="false">IFERROR(VLOOKUP(B38,'Item Master'!$A$4:$G$203,2,FALSE()),"")</f>
        <v/>
      </c>
      <c r="D38" s="19" t="str">
        <f aca="false">IFERROR(VLOOKUP(B38,'Item Master'!$A$4:$G$203,4,FALSE()),"")</f>
        <v/>
      </c>
      <c r="E38" s="20" t="str">
        <f aca="false">IFERROR(VLOOKUP(B38,'Item Master'!$A$4:$G$203,5,FALSE()),"")</f>
        <v/>
      </c>
      <c r="F38" s="21" t="str">
        <f aca="false">IF(B38="","",IFERROR(VLOOKUP(B38,'Item Master'!$A$4:$G$203,7,FALSE()),""))</f>
        <v/>
      </c>
      <c r="G38" s="22"/>
      <c r="H38" s="23" t="str">
        <f aca="false">IF(OR(B38="",G38=""),"",G38-F38)</f>
        <v/>
      </c>
      <c r="I38" s="24" t="str">
        <f aca="false">IF(H38="","",H38*IFERROR(VLOOKUP(B38,'Item Master'!$A$4:$G$203,6,FALSE()),0))</f>
        <v/>
      </c>
      <c r="J38" s="25" t="str">
        <f aca="false">IF(OR(H38="",F38=0,F38=""),"",H38/F38)</f>
        <v/>
      </c>
      <c r="K38" s="20" t="str">
        <f aca="false">IF(H38="","",IF(H38=0,"Match","Mismatch"))</f>
        <v/>
      </c>
      <c r="L38" s="26"/>
      <c r="M38" s="18"/>
      <c r="N38" s="26"/>
    </row>
    <row r="39" customFormat="false" ht="15" hidden="false" customHeight="false" outlineLevel="0" collapsed="false">
      <c r="A39" s="17"/>
      <c r="B39" s="18"/>
      <c r="C39" s="19" t="str">
        <f aca="false">IFERROR(VLOOKUP(B39,'Item Master'!$A$4:$G$203,2,FALSE()),"")</f>
        <v/>
      </c>
      <c r="D39" s="19" t="str">
        <f aca="false">IFERROR(VLOOKUP(B39,'Item Master'!$A$4:$G$203,4,FALSE()),"")</f>
        <v/>
      </c>
      <c r="E39" s="20" t="str">
        <f aca="false">IFERROR(VLOOKUP(B39,'Item Master'!$A$4:$G$203,5,FALSE()),"")</f>
        <v/>
      </c>
      <c r="F39" s="21" t="str">
        <f aca="false">IF(B39="","",IFERROR(VLOOKUP(B39,'Item Master'!$A$4:$G$203,7,FALSE()),""))</f>
        <v/>
      </c>
      <c r="G39" s="22"/>
      <c r="H39" s="23" t="str">
        <f aca="false">IF(OR(B39="",G39=""),"",G39-F39)</f>
        <v/>
      </c>
      <c r="I39" s="24" t="str">
        <f aca="false">IF(H39="","",H39*IFERROR(VLOOKUP(B39,'Item Master'!$A$4:$G$203,6,FALSE()),0))</f>
        <v/>
      </c>
      <c r="J39" s="25" t="str">
        <f aca="false">IF(OR(H39="",F39=0,F39=""),"",H39/F39)</f>
        <v/>
      </c>
      <c r="K39" s="20" t="str">
        <f aca="false">IF(H39="","",IF(H39=0,"Match","Mismatch"))</f>
        <v/>
      </c>
      <c r="L39" s="26"/>
      <c r="M39" s="18"/>
      <c r="N39" s="26"/>
    </row>
    <row r="40" customFormat="false" ht="15" hidden="false" customHeight="false" outlineLevel="0" collapsed="false">
      <c r="A40" s="17"/>
      <c r="B40" s="18"/>
      <c r="C40" s="19" t="str">
        <f aca="false">IFERROR(VLOOKUP(B40,'Item Master'!$A$4:$G$203,2,FALSE()),"")</f>
        <v/>
      </c>
      <c r="D40" s="19" t="str">
        <f aca="false">IFERROR(VLOOKUP(B40,'Item Master'!$A$4:$G$203,4,FALSE()),"")</f>
        <v/>
      </c>
      <c r="E40" s="20" t="str">
        <f aca="false">IFERROR(VLOOKUP(B40,'Item Master'!$A$4:$G$203,5,FALSE()),"")</f>
        <v/>
      </c>
      <c r="F40" s="21" t="str">
        <f aca="false">IF(B40="","",IFERROR(VLOOKUP(B40,'Item Master'!$A$4:$G$203,7,FALSE()),""))</f>
        <v/>
      </c>
      <c r="G40" s="22"/>
      <c r="H40" s="23" t="str">
        <f aca="false">IF(OR(B40="",G40=""),"",G40-F40)</f>
        <v/>
      </c>
      <c r="I40" s="24" t="str">
        <f aca="false">IF(H40="","",H40*IFERROR(VLOOKUP(B40,'Item Master'!$A$4:$G$203,6,FALSE()),0))</f>
        <v/>
      </c>
      <c r="J40" s="25" t="str">
        <f aca="false">IF(OR(H40="",F40=0,F40=""),"",H40/F40)</f>
        <v/>
      </c>
      <c r="K40" s="20" t="str">
        <f aca="false">IF(H40="","",IF(H40=0,"Match","Mismatch"))</f>
        <v/>
      </c>
      <c r="L40" s="26"/>
      <c r="M40" s="18"/>
      <c r="N40" s="26"/>
    </row>
    <row r="41" customFormat="false" ht="15" hidden="false" customHeight="false" outlineLevel="0" collapsed="false">
      <c r="A41" s="17"/>
      <c r="B41" s="18"/>
      <c r="C41" s="19" t="str">
        <f aca="false">IFERROR(VLOOKUP(B41,'Item Master'!$A$4:$G$203,2,FALSE()),"")</f>
        <v/>
      </c>
      <c r="D41" s="19" t="str">
        <f aca="false">IFERROR(VLOOKUP(B41,'Item Master'!$A$4:$G$203,4,FALSE()),"")</f>
        <v/>
      </c>
      <c r="E41" s="20" t="str">
        <f aca="false">IFERROR(VLOOKUP(B41,'Item Master'!$A$4:$G$203,5,FALSE()),"")</f>
        <v/>
      </c>
      <c r="F41" s="21" t="str">
        <f aca="false">IF(B41="","",IFERROR(VLOOKUP(B41,'Item Master'!$A$4:$G$203,7,FALSE()),""))</f>
        <v/>
      </c>
      <c r="G41" s="22"/>
      <c r="H41" s="23" t="str">
        <f aca="false">IF(OR(B41="",G41=""),"",G41-F41)</f>
        <v/>
      </c>
      <c r="I41" s="24" t="str">
        <f aca="false">IF(H41="","",H41*IFERROR(VLOOKUP(B41,'Item Master'!$A$4:$G$203,6,FALSE()),0))</f>
        <v/>
      </c>
      <c r="J41" s="25" t="str">
        <f aca="false">IF(OR(H41="",F41=0,F41=""),"",H41/F41)</f>
        <v/>
      </c>
      <c r="K41" s="20" t="str">
        <f aca="false">IF(H41="","",IF(H41=0,"Match","Mismatch"))</f>
        <v/>
      </c>
      <c r="L41" s="26"/>
      <c r="M41" s="18"/>
      <c r="N41" s="26"/>
    </row>
    <row r="42" customFormat="false" ht="15" hidden="false" customHeight="false" outlineLevel="0" collapsed="false">
      <c r="A42" s="17"/>
      <c r="B42" s="18"/>
      <c r="C42" s="19" t="str">
        <f aca="false">IFERROR(VLOOKUP(B42,'Item Master'!$A$4:$G$203,2,FALSE()),"")</f>
        <v/>
      </c>
      <c r="D42" s="19" t="str">
        <f aca="false">IFERROR(VLOOKUP(B42,'Item Master'!$A$4:$G$203,4,FALSE()),"")</f>
        <v/>
      </c>
      <c r="E42" s="20" t="str">
        <f aca="false">IFERROR(VLOOKUP(B42,'Item Master'!$A$4:$G$203,5,FALSE()),"")</f>
        <v/>
      </c>
      <c r="F42" s="21" t="str">
        <f aca="false">IF(B42="","",IFERROR(VLOOKUP(B42,'Item Master'!$A$4:$G$203,7,FALSE()),""))</f>
        <v/>
      </c>
      <c r="G42" s="22"/>
      <c r="H42" s="23" t="str">
        <f aca="false">IF(OR(B42="",G42=""),"",G42-F42)</f>
        <v/>
      </c>
      <c r="I42" s="24" t="str">
        <f aca="false">IF(H42="","",H42*IFERROR(VLOOKUP(B42,'Item Master'!$A$4:$G$203,6,FALSE()),0))</f>
        <v/>
      </c>
      <c r="J42" s="25" t="str">
        <f aca="false">IF(OR(H42="",F42=0,F42=""),"",H42/F42)</f>
        <v/>
      </c>
      <c r="K42" s="20" t="str">
        <f aca="false">IF(H42="","",IF(H42=0,"Match","Mismatch"))</f>
        <v/>
      </c>
      <c r="L42" s="26"/>
      <c r="M42" s="18"/>
      <c r="N42" s="26"/>
    </row>
    <row r="43" customFormat="false" ht="15" hidden="false" customHeight="false" outlineLevel="0" collapsed="false">
      <c r="A43" s="17"/>
      <c r="B43" s="18"/>
      <c r="C43" s="19" t="str">
        <f aca="false">IFERROR(VLOOKUP(B43,'Item Master'!$A$4:$G$203,2,FALSE()),"")</f>
        <v/>
      </c>
      <c r="D43" s="19" t="str">
        <f aca="false">IFERROR(VLOOKUP(B43,'Item Master'!$A$4:$G$203,4,FALSE()),"")</f>
        <v/>
      </c>
      <c r="E43" s="20" t="str">
        <f aca="false">IFERROR(VLOOKUP(B43,'Item Master'!$A$4:$G$203,5,FALSE()),"")</f>
        <v/>
      </c>
      <c r="F43" s="21" t="str">
        <f aca="false">IF(B43="","",IFERROR(VLOOKUP(B43,'Item Master'!$A$4:$G$203,7,FALSE()),""))</f>
        <v/>
      </c>
      <c r="G43" s="22"/>
      <c r="H43" s="23" t="str">
        <f aca="false">IF(OR(B43="",G43=""),"",G43-F43)</f>
        <v/>
      </c>
      <c r="I43" s="24" t="str">
        <f aca="false">IF(H43="","",H43*IFERROR(VLOOKUP(B43,'Item Master'!$A$4:$G$203,6,FALSE()),0))</f>
        <v/>
      </c>
      <c r="J43" s="25" t="str">
        <f aca="false">IF(OR(H43="",F43=0,F43=""),"",H43/F43)</f>
        <v/>
      </c>
      <c r="K43" s="20" t="str">
        <f aca="false">IF(H43="","",IF(H43=0,"Match","Mismatch"))</f>
        <v/>
      </c>
      <c r="L43" s="26"/>
      <c r="M43" s="18"/>
      <c r="N43" s="26"/>
    </row>
    <row r="44" customFormat="false" ht="15" hidden="false" customHeight="false" outlineLevel="0" collapsed="false">
      <c r="A44" s="17"/>
      <c r="B44" s="18"/>
      <c r="C44" s="19" t="str">
        <f aca="false">IFERROR(VLOOKUP(B44,'Item Master'!$A$4:$G$203,2,FALSE()),"")</f>
        <v/>
      </c>
      <c r="D44" s="19" t="str">
        <f aca="false">IFERROR(VLOOKUP(B44,'Item Master'!$A$4:$G$203,4,FALSE()),"")</f>
        <v/>
      </c>
      <c r="E44" s="20" t="str">
        <f aca="false">IFERROR(VLOOKUP(B44,'Item Master'!$A$4:$G$203,5,FALSE()),"")</f>
        <v/>
      </c>
      <c r="F44" s="21" t="str">
        <f aca="false">IF(B44="","",IFERROR(VLOOKUP(B44,'Item Master'!$A$4:$G$203,7,FALSE()),""))</f>
        <v/>
      </c>
      <c r="G44" s="22"/>
      <c r="H44" s="23" t="str">
        <f aca="false">IF(OR(B44="",G44=""),"",G44-F44)</f>
        <v/>
      </c>
      <c r="I44" s="24" t="str">
        <f aca="false">IF(H44="","",H44*IFERROR(VLOOKUP(B44,'Item Master'!$A$4:$G$203,6,FALSE()),0))</f>
        <v/>
      </c>
      <c r="J44" s="25" t="str">
        <f aca="false">IF(OR(H44="",F44=0,F44=""),"",H44/F44)</f>
        <v/>
      </c>
      <c r="K44" s="20" t="str">
        <f aca="false">IF(H44="","",IF(H44=0,"Match","Mismatch"))</f>
        <v/>
      </c>
      <c r="L44" s="26"/>
      <c r="M44" s="18"/>
      <c r="N44" s="26"/>
    </row>
    <row r="45" customFormat="false" ht="15" hidden="false" customHeight="false" outlineLevel="0" collapsed="false">
      <c r="A45" s="17"/>
      <c r="B45" s="18"/>
      <c r="C45" s="19" t="str">
        <f aca="false">IFERROR(VLOOKUP(B45,'Item Master'!$A$4:$G$203,2,FALSE()),"")</f>
        <v/>
      </c>
      <c r="D45" s="19" t="str">
        <f aca="false">IFERROR(VLOOKUP(B45,'Item Master'!$A$4:$G$203,4,FALSE()),"")</f>
        <v/>
      </c>
      <c r="E45" s="20" t="str">
        <f aca="false">IFERROR(VLOOKUP(B45,'Item Master'!$A$4:$G$203,5,FALSE()),"")</f>
        <v/>
      </c>
      <c r="F45" s="21" t="str">
        <f aca="false">IF(B45="","",IFERROR(VLOOKUP(B45,'Item Master'!$A$4:$G$203,7,FALSE()),""))</f>
        <v/>
      </c>
      <c r="G45" s="22"/>
      <c r="H45" s="23" t="str">
        <f aca="false">IF(OR(B45="",G45=""),"",G45-F45)</f>
        <v/>
      </c>
      <c r="I45" s="24" t="str">
        <f aca="false">IF(H45="","",H45*IFERROR(VLOOKUP(B45,'Item Master'!$A$4:$G$203,6,FALSE()),0))</f>
        <v/>
      </c>
      <c r="J45" s="25" t="str">
        <f aca="false">IF(OR(H45="",F45=0,F45=""),"",H45/F45)</f>
        <v/>
      </c>
      <c r="K45" s="20" t="str">
        <f aca="false">IF(H45="","",IF(H45=0,"Match","Mismatch"))</f>
        <v/>
      </c>
      <c r="L45" s="26"/>
      <c r="M45" s="18"/>
      <c r="N45" s="26"/>
    </row>
    <row r="46" customFormat="false" ht="15" hidden="false" customHeight="false" outlineLevel="0" collapsed="false">
      <c r="A46" s="17"/>
      <c r="B46" s="18"/>
      <c r="C46" s="19" t="str">
        <f aca="false">IFERROR(VLOOKUP(B46,'Item Master'!$A$4:$G$203,2,FALSE()),"")</f>
        <v/>
      </c>
      <c r="D46" s="19" t="str">
        <f aca="false">IFERROR(VLOOKUP(B46,'Item Master'!$A$4:$G$203,4,FALSE()),"")</f>
        <v/>
      </c>
      <c r="E46" s="20" t="str">
        <f aca="false">IFERROR(VLOOKUP(B46,'Item Master'!$A$4:$G$203,5,FALSE()),"")</f>
        <v/>
      </c>
      <c r="F46" s="21" t="str">
        <f aca="false">IF(B46="","",IFERROR(VLOOKUP(B46,'Item Master'!$A$4:$G$203,7,FALSE()),""))</f>
        <v/>
      </c>
      <c r="G46" s="22"/>
      <c r="H46" s="23" t="str">
        <f aca="false">IF(OR(B46="",G46=""),"",G46-F46)</f>
        <v/>
      </c>
      <c r="I46" s="24" t="str">
        <f aca="false">IF(H46="","",H46*IFERROR(VLOOKUP(B46,'Item Master'!$A$4:$G$203,6,FALSE()),0))</f>
        <v/>
      </c>
      <c r="J46" s="25" t="str">
        <f aca="false">IF(OR(H46="",F46=0,F46=""),"",H46/F46)</f>
        <v/>
      </c>
      <c r="K46" s="20" t="str">
        <f aca="false">IF(H46="","",IF(H46=0,"Match","Mismatch"))</f>
        <v/>
      </c>
      <c r="L46" s="26"/>
      <c r="M46" s="18"/>
      <c r="N46" s="26"/>
    </row>
    <row r="47" customFormat="false" ht="15" hidden="false" customHeight="false" outlineLevel="0" collapsed="false">
      <c r="A47" s="17"/>
      <c r="B47" s="18"/>
      <c r="C47" s="19" t="str">
        <f aca="false">IFERROR(VLOOKUP(B47,'Item Master'!$A$4:$G$203,2,FALSE()),"")</f>
        <v/>
      </c>
      <c r="D47" s="19" t="str">
        <f aca="false">IFERROR(VLOOKUP(B47,'Item Master'!$A$4:$G$203,4,FALSE()),"")</f>
        <v/>
      </c>
      <c r="E47" s="20" t="str">
        <f aca="false">IFERROR(VLOOKUP(B47,'Item Master'!$A$4:$G$203,5,FALSE()),"")</f>
        <v/>
      </c>
      <c r="F47" s="21" t="str">
        <f aca="false">IF(B47="","",IFERROR(VLOOKUP(B47,'Item Master'!$A$4:$G$203,7,FALSE()),""))</f>
        <v/>
      </c>
      <c r="G47" s="22"/>
      <c r="H47" s="23" t="str">
        <f aca="false">IF(OR(B47="",G47=""),"",G47-F47)</f>
        <v/>
      </c>
      <c r="I47" s="24" t="str">
        <f aca="false">IF(H47="","",H47*IFERROR(VLOOKUP(B47,'Item Master'!$A$4:$G$203,6,FALSE()),0))</f>
        <v/>
      </c>
      <c r="J47" s="25" t="str">
        <f aca="false">IF(OR(H47="",F47=0,F47=""),"",H47/F47)</f>
        <v/>
      </c>
      <c r="K47" s="20" t="str">
        <f aca="false">IF(H47="","",IF(H47=0,"Match","Mismatch"))</f>
        <v/>
      </c>
      <c r="L47" s="26"/>
      <c r="M47" s="18"/>
      <c r="N47" s="26"/>
    </row>
    <row r="48" customFormat="false" ht="15" hidden="false" customHeight="false" outlineLevel="0" collapsed="false">
      <c r="A48" s="17"/>
      <c r="B48" s="18"/>
      <c r="C48" s="19" t="str">
        <f aca="false">IFERROR(VLOOKUP(B48,'Item Master'!$A$4:$G$203,2,FALSE()),"")</f>
        <v/>
      </c>
      <c r="D48" s="19" t="str">
        <f aca="false">IFERROR(VLOOKUP(B48,'Item Master'!$A$4:$G$203,4,FALSE()),"")</f>
        <v/>
      </c>
      <c r="E48" s="20" t="str">
        <f aca="false">IFERROR(VLOOKUP(B48,'Item Master'!$A$4:$G$203,5,FALSE()),"")</f>
        <v/>
      </c>
      <c r="F48" s="21" t="str">
        <f aca="false">IF(B48="","",IFERROR(VLOOKUP(B48,'Item Master'!$A$4:$G$203,7,FALSE()),""))</f>
        <v/>
      </c>
      <c r="G48" s="22"/>
      <c r="H48" s="23" t="str">
        <f aca="false">IF(OR(B48="",G48=""),"",G48-F48)</f>
        <v/>
      </c>
      <c r="I48" s="24" t="str">
        <f aca="false">IF(H48="","",H48*IFERROR(VLOOKUP(B48,'Item Master'!$A$4:$G$203,6,FALSE()),0))</f>
        <v/>
      </c>
      <c r="J48" s="25" t="str">
        <f aca="false">IF(OR(H48="",F48=0,F48=""),"",H48/F48)</f>
        <v/>
      </c>
      <c r="K48" s="20" t="str">
        <f aca="false">IF(H48="","",IF(H48=0,"Match","Mismatch"))</f>
        <v/>
      </c>
      <c r="L48" s="26"/>
      <c r="M48" s="18"/>
      <c r="N48" s="26"/>
    </row>
    <row r="49" customFormat="false" ht="15" hidden="false" customHeight="false" outlineLevel="0" collapsed="false">
      <c r="A49" s="17"/>
      <c r="B49" s="18"/>
      <c r="C49" s="19" t="str">
        <f aca="false">IFERROR(VLOOKUP(B49,'Item Master'!$A$4:$G$203,2,FALSE()),"")</f>
        <v/>
      </c>
      <c r="D49" s="19" t="str">
        <f aca="false">IFERROR(VLOOKUP(B49,'Item Master'!$A$4:$G$203,4,FALSE()),"")</f>
        <v/>
      </c>
      <c r="E49" s="20" t="str">
        <f aca="false">IFERROR(VLOOKUP(B49,'Item Master'!$A$4:$G$203,5,FALSE()),"")</f>
        <v/>
      </c>
      <c r="F49" s="21" t="str">
        <f aca="false">IF(B49="","",IFERROR(VLOOKUP(B49,'Item Master'!$A$4:$G$203,7,FALSE()),""))</f>
        <v/>
      </c>
      <c r="G49" s="22"/>
      <c r="H49" s="23" t="str">
        <f aca="false">IF(OR(B49="",G49=""),"",G49-F49)</f>
        <v/>
      </c>
      <c r="I49" s="24" t="str">
        <f aca="false">IF(H49="","",H49*IFERROR(VLOOKUP(B49,'Item Master'!$A$4:$G$203,6,FALSE()),0))</f>
        <v/>
      </c>
      <c r="J49" s="25" t="str">
        <f aca="false">IF(OR(H49="",F49=0,F49=""),"",H49/F49)</f>
        <v/>
      </c>
      <c r="K49" s="20" t="str">
        <f aca="false">IF(H49="","",IF(H49=0,"Match","Mismatch"))</f>
        <v/>
      </c>
      <c r="L49" s="26"/>
      <c r="M49" s="18"/>
      <c r="N49" s="26"/>
    </row>
    <row r="50" customFormat="false" ht="15" hidden="false" customHeight="false" outlineLevel="0" collapsed="false">
      <c r="A50" s="17"/>
      <c r="B50" s="18"/>
      <c r="C50" s="19" t="str">
        <f aca="false">IFERROR(VLOOKUP(B50,'Item Master'!$A$4:$G$203,2,FALSE()),"")</f>
        <v/>
      </c>
      <c r="D50" s="19" t="str">
        <f aca="false">IFERROR(VLOOKUP(B50,'Item Master'!$A$4:$G$203,4,FALSE()),"")</f>
        <v/>
      </c>
      <c r="E50" s="20" t="str">
        <f aca="false">IFERROR(VLOOKUP(B50,'Item Master'!$A$4:$G$203,5,FALSE()),"")</f>
        <v/>
      </c>
      <c r="F50" s="21" t="str">
        <f aca="false">IF(B50="","",IFERROR(VLOOKUP(B50,'Item Master'!$A$4:$G$203,7,FALSE()),""))</f>
        <v/>
      </c>
      <c r="G50" s="22"/>
      <c r="H50" s="23" t="str">
        <f aca="false">IF(OR(B50="",G50=""),"",G50-F50)</f>
        <v/>
      </c>
      <c r="I50" s="24" t="str">
        <f aca="false">IF(H50="","",H50*IFERROR(VLOOKUP(B50,'Item Master'!$A$4:$G$203,6,FALSE()),0))</f>
        <v/>
      </c>
      <c r="J50" s="25" t="str">
        <f aca="false">IF(OR(H50="",F50=0,F50=""),"",H50/F50)</f>
        <v/>
      </c>
      <c r="K50" s="20" t="str">
        <f aca="false">IF(H50="","",IF(H50=0,"Match","Mismatch"))</f>
        <v/>
      </c>
      <c r="L50" s="26"/>
      <c r="M50" s="18"/>
      <c r="N50" s="26"/>
    </row>
    <row r="51" customFormat="false" ht="15" hidden="false" customHeight="false" outlineLevel="0" collapsed="false">
      <c r="A51" s="17"/>
      <c r="B51" s="18"/>
      <c r="C51" s="19" t="str">
        <f aca="false">IFERROR(VLOOKUP(B51,'Item Master'!$A$4:$G$203,2,FALSE()),"")</f>
        <v/>
      </c>
      <c r="D51" s="19" t="str">
        <f aca="false">IFERROR(VLOOKUP(B51,'Item Master'!$A$4:$G$203,4,FALSE()),"")</f>
        <v/>
      </c>
      <c r="E51" s="20" t="str">
        <f aca="false">IFERROR(VLOOKUP(B51,'Item Master'!$A$4:$G$203,5,FALSE()),"")</f>
        <v/>
      </c>
      <c r="F51" s="21" t="str">
        <f aca="false">IF(B51="","",IFERROR(VLOOKUP(B51,'Item Master'!$A$4:$G$203,7,FALSE()),""))</f>
        <v/>
      </c>
      <c r="G51" s="22"/>
      <c r="H51" s="23" t="str">
        <f aca="false">IF(OR(B51="",G51=""),"",G51-F51)</f>
        <v/>
      </c>
      <c r="I51" s="24" t="str">
        <f aca="false">IF(H51="","",H51*IFERROR(VLOOKUP(B51,'Item Master'!$A$4:$G$203,6,FALSE()),0))</f>
        <v/>
      </c>
      <c r="J51" s="25" t="str">
        <f aca="false">IF(OR(H51="",F51=0,F51=""),"",H51/F51)</f>
        <v/>
      </c>
      <c r="K51" s="20" t="str">
        <f aca="false">IF(H51="","",IF(H51=0,"Match","Mismatch"))</f>
        <v/>
      </c>
      <c r="L51" s="26"/>
      <c r="M51" s="18"/>
      <c r="N51" s="26"/>
    </row>
    <row r="52" customFormat="false" ht="15" hidden="false" customHeight="false" outlineLevel="0" collapsed="false">
      <c r="A52" s="17"/>
      <c r="B52" s="18"/>
      <c r="C52" s="19" t="str">
        <f aca="false">IFERROR(VLOOKUP(B52,'Item Master'!$A$4:$G$203,2,FALSE()),"")</f>
        <v/>
      </c>
      <c r="D52" s="19" t="str">
        <f aca="false">IFERROR(VLOOKUP(B52,'Item Master'!$A$4:$G$203,4,FALSE()),"")</f>
        <v/>
      </c>
      <c r="E52" s="20" t="str">
        <f aca="false">IFERROR(VLOOKUP(B52,'Item Master'!$A$4:$G$203,5,FALSE()),"")</f>
        <v/>
      </c>
      <c r="F52" s="21" t="str">
        <f aca="false">IF(B52="","",IFERROR(VLOOKUP(B52,'Item Master'!$A$4:$G$203,7,FALSE()),""))</f>
        <v/>
      </c>
      <c r="G52" s="22"/>
      <c r="H52" s="23" t="str">
        <f aca="false">IF(OR(B52="",G52=""),"",G52-F52)</f>
        <v/>
      </c>
      <c r="I52" s="24" t="str">
        <f aca="false">IF(H52="","",H52*IFERROR(VLOOKUP(B52,'Item Master'!$A$4:$G$203,6,FALSE()),0))</f>
        <v/>
      </c>
      <c r="J52" s="25" t="str">
        <f aca="false">IF(OR(H52="",F52=0,F52=""),"",H52/F52)</f>
        <v/>
      </c>
      <c r="K52" s="20" t="str">
        <f aca="false">IF(H52="","",IF(H52=0,"Match","Mismatch"))</f>
        <v/>
      </c>
      <c r="L52" s="26"/>
      <c r="M52" s="18"/>
      <c r="N52" s="26"/>
    </row>
    <row r="53" customFormat="false" ht="15" hidden="false" customHeight="false" outlineLevel="0" collapsed="false">
      <c r="A53" s="17"/>
      <c r="B53" s="18"/>
      <c r="C53" s="19" t="str">
        <f aca="false">IFERROR(VLOOKUP(B53,'Item Master'!$A$4:$G$203,2,FALSE()),"")</f>
        <v/>
      </c>
      <c r="D53" s="19" t="str">
        <f aca="false">IFERROR(VLOOKUP(B53,'Item Master'!$A$4:$G$203,4,FALSE()),"")</f>
        <v/>
      </c>
      <c r="E53" s="20" t="str">
        <f aca="false">IFERROR(VLOOKUP(B53,'Item Master'!$A$4:$G$203,5,FALSE()),"")</f>
        <v/>
      </c>
      <c r="F53" s="21" t="str">
        <f aca="false">IF(B53="","",IFERROR(VLOOKUP(B53,'Item Master'!$A$4:$G$203,7,FALSE()),""))</f>
        <v/>
      </c>
      <c r="G53" s="22"/>
      <c r="H53" s="23" t="str">
        <f aca="false">IF(OR(B53="",G53=""),"",G53-F53)</f>
        <v/>
      </c>
      <c r="I53" s="24" t="str">
        <f aca="false">IF(H53="","",H53*IFERROR(VLOOKUP(B53,'Item Master'!$A$4:$G$203,6,FALSE()),0))</f>
        <v/>
      </c>
      <c r="J53" s="25" t="str">
        <f aca="false">IF(OR(H53="",F53=0,F53=""),"",H53/F53)</f>
        <v/>
      </c>
      <c r="K53" s="20" t="str">
        <f aca="false">IF(H53="","",IF(H53=0,"Match","Mismatch"))</f>
        <v/>
      </c>
      <c r="L53" s="26"/>
      <c r="M53" s="18"/>
      <c r="N53" s="26"/>
    </row>
  </sheetData>
  <conditionalFormatting sqref="K4:K53">
    <cfRule type="cellIs" priority="2" operator="equal" aboveAverage="0" equalAverage="0" bottom="0" percent="0" rank="0" text="" dxfId="0">
      <formula>"Mismatch"</formula>
    </cfRule>
    <cfRule type="cellIs" priority="3" operator="equal" aboveAverage="0" equalAverage="0" bottom="0" percent="0" rank="0" text="" dxfId="1">
      <formula>"Match"</formula>
    </cfRule>
  </conditionalFormatting>
  <dataValidations count="2">
    <dataValidation allowBlank="true" errorStyle="stop" operator="between" showDropDown="false" showErrorMessage="false" showInputMessage="false" sqref="M4:M53" type="list">
      <formula1>Lists!$B$4:$B$7</formula1>
      <formula2>0</formula2>
    </dataValidation>
    <dataValidation allowBlank="true" errorStyle="stop" operator="between" showDropDown="false" showErrorMessage="false" showInputMessage="false" sqref="L4:L53" type="list">
      <formula1>Lists!$C$4:$C$7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H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8" min="4" style="0" width="15"/>
  </cols>
  <sheetData>
    <row r="1" customFormat="false" ht="102.95" hidden="false" customHeight="false" outlineLevel="0" collapsed="false">
      <c r="A1" s="15" t="s">
        <v>63</v>
      </c>
    </row>
    <row r="3" customFormat="false" ht="23.85" hidden="false" customHeight="false" outlineLevel="0" collapsed="false">
      <c r="A3" s="16" t="s">
        <v>36</v>
      </c>
      <c r="B3" s="16" t="s">
        <v>37</v>
      </c>
      <c r="C3" s="16" t="s">
        <v>64</v>
      </c>
      <c r="D3" s="16" t="s">
        <v>65</v>
      </c>
      <c r="E3" s="16" t="s">
        <v>66</v>
      </c>
      <c r="F3" s="16" t="s">
        <v>67</v>
      </c>
      <c r="G3" s="16" t="s">
        <v>68</v>
      </c>
      <c r="H3" s="16" t="s">
        <v>69</v>
      </c>
    </row>
    <row r="4" customFormat="false" ht="15" hidden="false" customHeight="false" outlineLevel="0" collapsed="false">
      <c r="A4" s="20" t="s">
        <v>48</v>
      </c>
      <c r="B4" s="19" t="str">
        <f aca="false">IFERROR(VLOOKUP(A4,'Item Master'!$A$4:$G$203,2,FALSE()),"")</f>
        <v>Cordless Drill 18V</v>
      </c>
      <c r="C4" s="20" t="str">
        <f aca="false">IFERROR(VLOOKUP(A4,'Item Master'!$A$4:$G$203,5,FALSE()),"")</f>
        <v>A</v>
      </c>
      <c r="D4" s="20" t="n">
        <f aca="false">IFERROR(VLOOKUP(C4,Lists!$E$4:$F$6,2,FALSE()),"")</f>
        <v>30</v>
      </c>
      <c r="E4" s="17" t="n">
        <v>45422</v>
      </c>
      <c r="F4" s="27" t="n">
        <f aca="false">IF(OR(E4="",D4=""),"",E4+D4)</f>
        <v>45452</v>
      </c>
      <c r="G4" s="28" t="n">
        <f aca="true">IF(F4="","",F4-TODAY())</f>
        <v>-731</v>
      </c>
      <c r="H4" s="20" t="str">
        <f aca="false">IF(G4="","Not scheduled",IF(G4&lt;0,"Overdue",IF(G4&lt;=7,"Due soon","On track")))</f>
        <v>Overdue</v>
      </c>
    </row>
    <row r="5" customFormat="false" ht="15" hidden="false" customHeight="false" outlineLevel="0" collapsed="false">
      <c r="A5" s="20" t="s">
        <v>51</v>
      </c>
      <c r="B5" s="19" t="str">
        <f aca="false">IFERROR(VLOOKUP(A5,'Item Master'!$A$4:$G$203,2,FALSE()),"")</f>
        <v>Drill Bit Set (29pc)</v>
      </c>
      <c r="C5" s="20" t="str">
        <f aca="false">IFERROR(VLOOKUP(A5,'Item Master'!$A$4:$G$203,5,FALSE()),"")</f>
        <v>B</v>
      </c>
      <c r="D5" s="20" t="n">
        <f aca="false">IFERROR(VLOOKUP(C5,Lists!$E$4:$F$6,2,FALSE()),"")</f>
        <v>90</v>
      </c>
      <c r="E5" s="17"/>
      <c r="F5" s="27" t="str">
        <f aca="false">IF(OR(E5="",D5=""),"",E5+D5)</f>
        <v/>
      </c>
      <c r="G5" s="28" t="str">
        <f aca="true">IF(F5="","",F5-TODAY())</f>
        <v/>
      </c>
      <c r="H5" s="20" t="str">
        <f aca="false">IF(G5="","Not scheduled",IF(G5&lt;0,"Overdue",IF(G5&lt;=7,"Due soon","On track")))</f>
        <v>Not scheduled</v>
      </c>
    </row>
    <row r="6" customFormat="false" ht="15" hidden="false" customHeight="false" outlineLevel="0" collapsed="false">
      <c r="A6" s="20" t="s">
        <v>62</v>
      </c>
      <c r="B6" s="19" t="str">
        <f aca="false">IFERROR(VLOOKUP(A6,'Item Master'!$A$4:$G$203,2,FALSE()),"")</f>
        <v>Safety Goggles</v>
      </c>
      <c r="C6" s="20" t="str">
        <f aca="false">IFERROR(VLOOKUP(A6,'Item Master'!$A$4:$G$203,5,FALSE()),"")</f>
        <v>C</v>
      </c>
      <c r="D6" s="20" t="n">
        <f aca="false">IFERROR(VLOOKUP(C6,Lists!$E$4:$F$6,2,FALSE()),"")</f>
        <v>180</v>
      </c>
      <c r="E6" s="17"/>
      <c r="F6" s="27" t="str">
        <f aca="false">IF(OR(E6="",D6=""),"",E6+D6)</f>
        <v/>
      </c>
      <c r="G6" s="28" t="str">
        <f aca="true">IF(F6="","",F6-TODAY())</f>
        <v/>
      </c>
      <c r="H6" s="20" t="str">
        <f aca="false">IF(G6="","Not scheduled",IF(G6&lt;0,"Overdue",IF(G6&lt;=7,"Due soon","On track")))</f>
        <v>Not scheduled</v>
      </c>
    </row>
    <row r="7" customFormat="false" ht="15" hidden="false" customHeight="false" outlineLevel="0" collapsed="false">
      <c r="A7" s="20" t="s">
        <v>70</v>
      </c>
      <c r="B7" s="19" t="str">
        <f aca="false">IFERROR(VLOOKUP(A7,'Item Master'!$A$4:$G$203,2,FALSE()),"")</f>
        <v>Work Gloves (L)</v>
      </c>
      <c r="C7" s="20" t="str">
        <f aca="false">IFERROR(VLOOKUP(A7,'Item Master'!$A$4:$G$203,5,FALSE()),"")</f>
        <v>C</v>
      </c>
      <c r="D7" s="20" t="n">
        <f aca="false">IFERROR(VLOOKUP(C7,Lists!$E$4:$F$6,2,FALSE()),"")</f>
        <v>180</v>
      </c>
      <c r="E7" s="17"/>
      <c r="F7" s="27" t="str">
        <f aca="false">IF(OR(E7="",D7=""),"",E7+D7)</f>
        <v/>
      </c>
      <c r="G7" s="28" t="str">
        <f aca="true">IF(F7="","",F7-TODAY())</f>
        <v/>
      </c>
      <c r="H7" s="20" t="str">
        <f aca="false">IF(G7="","Not scheduled",IF(G7&lt;0,"Overdue",IF(G7&lt;=7,"Due soon","On track")))</f>
        <v>Not scheduled</v>
      </c>
    </row>
    <row r="8" customFormat="false" ht="15" hidden="false" customHeight="false" outlineLevel="0" collapsed="false">
      <c r="A8" s="20" t="s">
        <v>57</v>
      </c>
      <c r="B8" s="19" t="str">
        <f aca="false">IFERROR(VLOOKUP(A8,'Item Master'!$A$4:$G$203,2,FALSE()),"")</f>
        <v>Hammer 16oz</v>
      </c>
      <c r="C8" s="20" t="str">
        <f aca="false">IFERROR(VLOOKUP(A8,'Item Master'!$A$4:$G$203,5,FALSE()),"")</f>
        <v>B</v>
      </c>
      <c r="D8" s="20" t="n">
        <f aca="false">IFERROR(VLOOKUP(C8,Lists!$E$4:$F$6,2,FALSE()),"")</f>
        <v>90</v>
      </c>
      <c r="E8" s="17"/>
      <c r="F8" s="27" t="str">
        <f aca="false">IF(OR(E8="",D8=""),"",E8+D8)</f>
        <v/>
      </c>
      <c r="G8" s="28" t="str">
        <f aca="true">IF(F8="","",F8-TODAY())</f>
        <v/>
      </c>
      <c r="H8" s="20" t="str">
        <f aca="false">IF(G8="","Not scheduled",IF(G8&lt;0,"Overdue",IF(G8&lt;=7,"Due soon","On track")))</f>
        <v>Not scheduled</v>
      </c>
    </row>
    <row r="9" customFormat="false" ht="15" hidden="false" customHeight="false" outlineLevel="0" collapsed="false">
      <c r="A9" s="20" t="s">
        <v>58</v>
      </c>
      <c r="B9" s="19" t="str">
        <f aca="false">IFERROR(VLOOKUP(A9,'Item Master'!$A$4:$G$203,2,FALSE()),"")</f>
        <v>Tape Measure 8m</v>
      </c>
      <c r="C9" s="20" t="str">
        <f aca="false">IFERROR(VLOOKUP(A9,'Item Master'!$A$4:$G$203,5,FALSE()),"")</f>
        <v>B</v>
      </c>
      <c r="D9" s="20" t="n">
        <f aca="false">IFERROR(VLOOKUP(C9,Lists!$E$4:$F$6,2,FALSE()),"")</f>
        <v>90</v>
      </c>
      <c r="E9" s="17"/>
      <c r="F9" s="27" t="str">
        <f aca="false">IF(OR(E9="",D9=""),"",E9+D9)</f>
        <v/>
      </c>
      <c r="G9" s="28" t="str">
        <f aca="true">IF(F9="","",F9-TODAY())</f>
        <v/>
      </c>
      <c r="H9" s="20" t="str">
        <f aca="false">IF(G9="","Not scheduled",IF(G9&lt;0,"Overdue",IF(G9&lt;=7,"Due soon","On track")))</f>
        <v>Not scheduled</v>
      </c>
    </row>
    <row r="10" customFormat="false" ht="15" hidden="false" customHeight="false" outlineLevel="0" collapsed="false">
      <c r="A10" s="20" t="s">
        <v>53</v>
      </c>
      <c r="B10" s="19" t="str">
        <f aca="false">IFERROR(VLOOKUP(A10,'Item Master'!$A$4:$G$203,2,FALSE()),"")</f>
        <v>LED Work Light</v>
      </c>
      <c r="C10" s="20" t="str">
        <f aca="false">IFERROR(VLOOKUP(A10,'Item Master'!$A$4:$G$203,5,FALSE()),"")</f>
        <v>A</v>
      </c>
      <c r="D10" s="20" t="n">
        <f aca="false">IFERROR(VLOOKUP(C10,Lists!$E$4:$F$6,2,FALSE()),"")</f>
        <v>30</v>
      </c>
      <c r="E10" s="17" t="n">
        <v>45404</v>
      </c>
      <c r="F10" s="27" t="n">
        <f aca="false">IF(OR(E10="",D10=""),"",E10+D10)</f>
        <v>45434</v>
      </c>
      <c r="G10" s="28" t="n">
        <f aca="true">IF(F10="","",F10-TODAY())</f>
        <v>-749</v>
      </c>
      <c r="H10" s="20" t="str">
        <f aca="false">IF(G10="","Not scheduled",IF(G10&lt;0,"Overdue",IF(G10&lt;=7,"Due soon","On track")))</f>
        <v>Overdue</v>
      </c>
    </row>
    <row r="11" customFormat="false" ht="15" hidden="false" customHeight="false" outlineLevel="0" collapsed="false">
      <c r="A11" s="20" t="s">
        <v>71</v>
      </c>
      <c r="B11" s="19" t="str">
        <f aca="false">IFERROR(VLOOKUP(A11,'Item Master'!$A$4:$G$203,2,FALSE()),"")</f>
        <v>Extension Cord 10m</v>
      </c>
      <c r="C11" s="20" t="str">
        <f aca="false">IFERROR(VLOOKUP(A11,'Item Master'!$A$4:$G$203,5,FALSE()),"")</f>
        <v>B</v>
      </c>
      <c r="D11" s="20" t="n">
        <f aca="false">IFERROR(VLOOKUP(C11,Lists!$E$4:$F$6,2,FALSE()),"")</f>
        <v>90</v>
      </c>
      <c r="E11" s="17"/>
      <c r="F11" s="27" t="str">
        <f aca="false">IF(OR(E11="",D11=""),"",E11+D11)</f>
        <v/>
      </c>
      <c r="G11" s="28" t="str">
        <f aca="true">IF(F11="","",F11-TODAY())</f>
        <v/>
      </c>
      <c r="H11" s="20" t="str">
        <f aca="false">IF(G11="","Not scheduled",IF(G11&lt;0,"Overdue",IF(G11&lt;=7,"Due soon","On track")))</f>
        <v>Not scheduled</v>
      </c>
    </row>
    <row r="12" customFormat="false" ht="15" hidden="false" customHeight="false" outlineLevel="0" collapsed="false">
      <c r="A12" s="20" t="s">
        <v>60</v>
      </c>
      <c r="B12" s="19" t="str">
        <f aca="false">IFERROR(VLOOKUP(A12,'Item Master'!$A$4:$G$203,2,FALSE()),"")</f>
        <v>Screws M4 (box 500)</v>
      </c>
      <c r="C12" s="20" t="str">
        <f aca="false">IFERROR(VLOOKUP(A12,'Item Master'!$A$4:$G$203,5,FALSE()),"")</f>
        <v>C</v>
      </c>
      <c r="D12" s="20" t="n">
        <f aca="false">IFERROR(VLOOKUP(C12,Lists!$E$4:$F$6,2,FALSE()),"")</f>
        <v>180</v>
      </c>
      <c r="E12" s="17"/>
      <c r="F12" s="27" t="str">
        <f aca="false">IF(OR(E12="",D12=""),"",E12+D12)</f>
        <v/>
      </c>
      <c r="G12" s="28" t="str">
        <f aca="true">IF(F12="","",F12-TODAY())</f>
        <v/>
      </c>
      <c r="H12" s="20" t="str">
        <f aca="false">IF(G12="","Not scheduled",IF(G12&lt;0,"Overdue",IF(G12&lt;=7,"Due soon","On track")))</f>
        <v>Not scheduled</v>
      </c>
    </row>
    <row r="13" customFormat="false" ht="15" hidden="false" customHeight="false" outlineLevel="0" collapsed="false">
      <c r="A13" s="20" t="s">
        <v>72</v>
      </c>
      <c r="B13" s="19" t="str">
        <f aca="false">IFERROR(VLOOKUP(A13,'Item Master'!$A$4:$G$203,2,FALSE()),"")</f>
        <v>Wall Anchors (box 100)</v>
      </c>
      <c r="C13" s="20" t="str">
        <f aca="false">IFERROR(VLOOKUP(A13,'Item Master'!$A$4:$G$203,5,FALSE()),"")</f>
        <v>C</v>
      </c>
      <c r="D13" s="20" t="n">
        <f aca="false">IFERROR(VLOOKUP(C13,Lists!$E$4:$F$6,2,FALSE()),"")</f>
        <v>180</v>
      </c>
      <c r="E13" s="17"/>
      <c r="F13" s="27" t="str">
        <f aca="false">IF(OR(E13="",D13=""),"",E13+D13)</f>
        <v/>
      </c>
      <c r="G13" s="28" t="str">
        <f aca="true">IF(F13="","",F13-TODAY())</f>
        <v/>
      </c>
      <c r="H13" s="20" t="str">
        <f aca="false">IF(G13="","Not scheduled",IF(G13&lt;0,"Overdue",IF(G13&lt;=7,"Due soon","On track")))</f>
        <v>Not scheduled</v>
      </c>
    </row>
    <row r="14" customFormat="false" ht="15" hidden="false" customHeight="false" outlineLevel="0" collapsed="false">
      <c r="A14" s="20" t="s">
        <v>73</v>
      </c>
      <c r="B14" s="19" t="str">
        <f aca="false">IFERROR(VLOOKUP(A14,'Item Master'!$A$4:$G$203,2,FALSE()),"")</f>
        <v>Paint Roller Kit</v>
      </c>
      <c r="C14" s="20" t="str">
        <f aca="false">IFERROR(VLOOKUP(A14,'Item Master'!$A$4:$G$203,5,FALSE()),"")</f>
        <v>C</v>
      </c>
      <c r="D14" s="20" t="n">
        <f aca="false">IFERROR(VLOOKUP(C14,Lists!$E$4:$F$6,2,FALSE()),"")</f>
        <v>180</v>
      </c>
      <c r="E14" s="17"/>
      <c r="F14" s="27" t="str">
        <f aca="false">IF(OR(E14="",D14=""),"",E14+D14)</f>
        <v/>
      </c>
      <c r="G14" s="28" t="str">
        <f aca="true">IF(F14="","",F14-TODAY())</f>
        <v/>
      </c>
      <c r="H14" s="20" t="str">
        <f aca="false">IF(G14="","Not scheduled",IF(G14&lt;0,"Overdue",IF(G14&lt;=7,"Due soon","On track")))</f>
        <v>Not scheduled</v>
      </c>
    </row>
    <row r="15" customFormat="false" ht="15" hidden="false" customHeight="false" outlineLevel="0" collapsed="false">
      <c r="A15" s="20" t="s">
        <v>61</v>
      </c>
      <c r="B15" s="19" t="str">
        <f aca="false">IFERROR(VLOOKUP(A15,'Item Master'!$A$4:$G$203,2,FALSE()),"")</f>
        <v>Masking Tape 50m</v>
      </c>
      <c r="C15" s="20" t="str">
        <f aca="false">IFERROR(VLOOKUP(A15,'Item Master'!$A$4:$G$203,5,FALSE()),"")</f>
        <v>C</v>
      </c>
      <c r="D15" s="20" t="n">
        <f aca="false">IFERROR(VLOOKUP(C15,Lists!$E$4:$F$6,2,FALSE()),"")</f>
        <v>180</v>
      </c>
      <c r="E15" s="17"/>
      <c r="F15" s="27" t="str">
        <f aca="false">IF(OR(E15="",D15=""),"",E15+D15)</f>
        <v/>
      </c>
      <c r="G15" s="28" t="str">
        <f aca="true">IF(F15="","",F15-TODAY())</f>
        <v/>
      </c>
      <c r="H15" s="20" t="str">
        <f aca="false">IF(G15="","Not scheduled",IF(G15&lt;0,"Overdue",IF(G15&lt;=7,"Due soon","On track")))</f>
        <v>Not scheduled</v>
      </c>
    </row>
    <row r="16" customFormat="false" ht="15" hidden="false" customHeight="false" outlineLevel="0" collapsed="false">
      <c r="A16" s="20" t="s">
        <v>54</v>
      </c>
      <c r="B16" s="19" t="str">
        <f aca="false">IFERROR(VLOOKUP(A16,'Item Master'!$A$4:$G$203,2,FALSE()),"")</f>
        <v>Circular Saw 1200W</v>
      </c>
      <c r="C16" s="20" t="str">
        <f aca="false">IFERROR(VLOOKUP(A16,'Item Master'!$A$4:$G$203,5,FALSE()),"")</f>
        <v>A</v>
      </c>
      <c r="D16" s="20" t="n">
        <f aca="false">IFERROR(VLOOKUP(C16,Lists!$E$4:$F$6,2,FALSE()),"")</f>
        <v>30</v>
      </c>
      <c r="E16" s="17" t="n">
        <v>45440</v>
      </c>
      <c r="F16" s="27" t="n">
        <f aca="false">IF(OR(E16="",D16=""),"",E16+D16)</f>
        <v>45470</v>
      </c>
      <c r="G16" s="28" t="n">
        <f aca="true">IF(F16="","",F16-TODAY())</f>
        <v>-713</v>
      </c>
      <c r="H16" s="20" t="str">
        <f aca="false">IF(G16="","Not scheduled",IF(G16&lt;0,"Overdue",IF(G16&lt;=7,"Due soon","On track")))</f>
        <v>Overdue</v>
      </c>
    </row>
    <row r="17" customFormat="false" ht="15" hidden="false" customHeight="false" outlineLevel="0" collapsed="false">
      <c r="A17" s="20" t="s">
        <v>74</v>
      </c>
      <c r="B17" s="19" t="str">
        <f aca="false">IFERROR(VLOOKUP(A17,'Item Master'!$A$4:$G$203,2,FALSE()),"")</f>
        <v>Saw Blade 184mm</v>
      </c>
      <c r="C17" s="20" t="str">
        <f aca="false">IFERROR(VLOOKUP(A17,'Item Master'!$A$4:$G$203,5,FALSE()),"")</f>
        <v>B</v>
      </c>
      <c r="D17" s="20" t="n">
        <f aca="false">IFERROR(VLOOKUP(C17,Lists!$E$4:$F$6,2,FALSE()),"")</f>
        <v>90</v>
      </c>
      <c r="E17" s="17"/>
      <c r="F17" s="27" t="str">
        <f aca="false">IF(OR(E17="",D17=""),"",E17+D17)</f>
        <v/>
      </c>
      <c r="G17" s="28" t="str">
        <f aca="true">IF(F17="","",F17-TODAY())</f>
        <v/>
      </c>
      <c r="H17" s="20" t="str">
        <f aca="false">IF(G17="","Not scheduled",IF(G17&lt;0,"Overdue",IF(G17&lt;=7,"Due soon","On track")))</f>
        <v>Not scheduled</v>
      </c>
    </row>
    <row r="18" customFormat="false" ht="15" hidden="false" customHeight="false" outlineLevel="0" collapsed="false">
      <c r="A18" s="20" t="s">
        <v>59</v>
      </c>
      <c r="B18" s="19" t="str">
        <f aca="false">IFERROR(VLOOKUP(A18,'Item Master'!$A$4:$G$203,2,FALSE()),"")</f>
        <v>Spirit Level 60cm</v>
      </c>
      <c r="C18" s="20" t="str">
        <f aca="false">IFERROR(VLOOKUP(A18,'Item Master'!$A$4:$G$203,5,FALSE()),"")</f>
        <v>B</v>
      </c>
      <c r="D18" s="20" t="n">
        <f aca="false">IFERROR(VLOOKUP(C18,Lists!$E$4:$F$6,2,FALSE()),"")</f>
        <v>90</v>
      </c>
      <c r="E18" s="17"/>
      <c r="F18" s="27" t="str">
        <f aca="false">IF(OR(E18="",D18=""),"",E18+D18)</f>
        <v/>
      </c>
      <c r="G18" s="28" t="str">
        <f aca="true">IF(F18="","",F18-TODAY())</f>
        <v/>
      </c>
      <c r="H18" s="20" t="str">
        <f aca="false">IF(G18="","Not scheduled",IF(G18&lt;0,"Overdue",IF(G18&lt;=7,"Due soon","On track")))</f>
        <v>Not scheduled</v>
      </c>
    </row>
    <row r="19" customFormat="false" ht="15" hidden="false" customHeight="false" outlineLevel="0" collapsed="false">
      <c r="A19" s="20" t="s">
        <v>75</v>
      </c>
      <c r="B19" s="19" t="str">
        <f aca="false">IFERROR(VLOOKUP(A19,'Item Master'!$A$4:$G$203,2,FALSE()),"")</f>
        <v>Utility Knife</v>
      </c>
      <c r="C19" s="20" t="str">
        <f aca="false">IFERROR(VLOOKUP(A19,'Item Master'!$A$4:$G$203,5,FALSE()),"")</f>
        <v>C</v>
      </c>
      <c r="D19" s="20" t="n">
        <f aca="false">IFERROR(VLOOKUP(C19,Lists!$E$4:$F$6,2,FALSE()),"")</f>
        <v>180</v>
      </c>
      <c r="E19" s="17"/>
      <c r="F19" s="27" t="str">
        <f aca="false">IF(OR(E19="",D19=""),"",E19+D19)</f>
        <v/>
      </c>
      <c r="G19" s="28" t="str">
        <f aca="true">IF(F19="","",F19-TODAY())</f>
        <v/>
      </c>
      <c r="H19" s="20" t="str">
        <f aca="false">IF(G19="","Not scheduled",IF(G19&lt;0,"Overdue",IF(G19&lt;=7,"Due soon","On track")))</f>
        <v>Not scheduled</v>
      </c>
    </row>
    <row r="20" customFormat="false" ht="15" hidden="false" customHeight="false" outlineLevel="0" collapsed="false">
      <c r="A20" s="20" t="s">
        <v>55</v>
      </c>
      <c r="B20" s="19" t="str">
        <f aca="false">IFERROR(VLOOKUP(A20,'Item Master'!$A$4:$G$203,2,FALSE()),"")</f>
        <v>Ladder 3-Step</v>
      </c>
      <c r="C20" s="20" t="str">
        <f aca="false">IFERROR(VLOOKUP(A20,'Item Master'!$A$4:$G$203,5,FALSE()),"")</f>
        <v>A</v>
      </c>
      <c r="D20" s="20" t="n">
        <f aca="false">IFERROR(VLOOKUP(C20,Lists!$E$4:$F$6,2,FALSE()),"")</f>
        <v>30</v>
      </c>
      <c r="E20" s="17" t="n">
        <v>45366</v>
      </c>
      <c r="F20" s="27" t="n">
        <f aca="false">IF(OR(E20="",D20=""),"",E20+D20)</f>
        <v>45396</v>
      </c>
      <c r="G20" s="28" t="n">
        <f aca="true">IF(F20="","",F20-TODAY())</f>
        <v>-787</v>
      </c>
      <c r="H20" s="20" t="str">
        <f aca="false">IF(G20="","Not scheduled",IF(G20&lt;0,"Overdue",IF(G20&lt;=7,"Due soon","On track")))</f>
        <v>Overdue</v>
      </c>
    </row>
    <row r="21" customFormat="false" ht="15" hidden="false" customHeight="false" outlineLevel="0" collapsed="false">
      <c r="A21" s="20" t="s">
        <v>76</v>
      </c>
      <c r="B21" s="19" t="str">
        <f aca="false">IFERROR(VLOOKUP(A21,'Item Master'!$A$4:$G$203,2,FALSE()),"")</f>
        <v>Tool Box 19in</v>
      </c>
      <c r="C21" s="20" t="str">
        <f aca="false">IFERROR(VLOOKUP(A21,'Item Master'!$A$4:$G$203,5,FALSE()),"")</f>
        <v>B</v>
      </c>
      <c r="D21" s="20" t="n">
        <f aca="false">IFERROR(VLOOKUP(C21,Lists!$E$4:$F$6,2,FALSE()),"")</f>
        <v>90</v>
      </c>
      <c r="E21" s="17"/>
      <c r="F21" s="27" t="str">
        <f aca="false">IF(OR(E21="",D21=""),"",E21+D21)</f>
        <v/>
      </c>
      <c r="G21" s="28" t="str">
        <f aca="true">IF(F21="","",F21-TODAY())</f>
        <v/>
      </c>
      <c r="H21" s="20" t="str">
        <f aca="false">IF(G21="","Not scheduled",IF(G21&lt;0,"Overdue",IF(G21&lt;=7,"Due soon","On track")))</f>
        <v>Not scheduled</v>
      </c>
    </row>
    <row r="22" customFormat="false" ht="15" hidden="false" customHeight="false" outlineLevel="0" collapsed="false">
      <c r="A22" s="20" t="s">
        <v>77</v>
      </c>
      <c r="B22" s="19" t="str">
        <f aca="false">IFERROR(VLOOKUP(A22,'Item Master'!$A$4:$G$203,2,FALSE()),"")</f>
        <v>Cable Ties (pack 200)</v>
      </c>
      <c r="C22" s="20" t="str">
        <f aca="false">IFERROR(VLOOKUP(A22,'Item Master'!$A$4:$G$203,5,FALSE()),"")</f>
        <v>C</v>
      </c>
      <c r="D22" s="20" t="n">
        <f aca="false">IFERROR(VLOOKUP(C22,Lists!$E$4:$F$6,2,FALSE()),"")</f>
        <v>180</v>
      </c>
      <c r="E22" s="17"/>
      <c r="F22" s="27" t="str">
        <f aca="false">IF(OR(E22="",D22=""),"",E22+D22)</f>
        <v/>
      </c>
      <c r="G22" s="28" t="str">
        <f aca="true">IF(F22="","",F22-TODAY())</f>
        <v/>
      </c>
      <c r="H22" s="20" t="str">
        <f aca="false">IF(G22="","Not scheduled",IF(G22&lt;0,"Overdue",IF(G22&lt;=7,"Due soon","On track")))</f>
        <v>Not scheduled</v>
      </c>
    </row>
    <row r="23" customFormat="false" ht="15" hidden="false" customHeight="false" outlineLevel="0" collapsed="false">
      <c r="A23" s="20" t="s">
        <v>78</v>
      </c>
      <c r="B23" s="19" t="str">
        <f aca="false">IFERROR(VLOOKUP(A23,'Item Master'!$A$4:$G$203,2,FALSE()),"")</f>
        <v>Sandpaper Asst (20)</v>
      </c>
      <c r="C23" s="20" t="str">
        <f aca="false">IFERROR(VLOOKUP(A23,'Item Master'!$A$4:$G$203,5,FALSE()),"")</f>
        <v>C</v>
      </c>
      <c r="D23" s="20" t="n">
        <f aca="false">IFERROR(VLOOKUP(C23,Lists!$E$4:$F$6,2,FALSE()),"")</f>
        <v>180</v>
      </c>
      <c r="E23" s="17"/>
      <c r="F23" s="27" t="str">
        <f aca="false">IF(OR(E23="",D23=""),"",E23+D23)</f>
        <v/>
      </c>
      <c r="G23" s="28" t="str">
        <f aca="true">IF(F23="","",F23-TODAY())</f>
        <v/>
      </c>
      <c r="H23" s="20" t="str">
        <f aca="false">IF(G23="","Not scheduled",IF(G23&lt;0,"Overdue",IF(G23&lt;=7,"Due soon","On track")))</f>
        <v>Not scheduled</v>
      </c>
    </row>
    <row r="24" customFormat="false" ht="15" hidden="false" customHeight="false" outlineLevel="0" collapsed="false">
      <c r="A24" s="20" t="s">
        <v>79</v>
      </c>
      <c r="B24" s="19" t="str">
        <f aca="false">IFERROR(VLOOKUP(A24,'Item Master'!$A$4:$G$203,2,FALSE()),"")</f>
        <v>Wrench Set (10pc)</v>
      </c>
      <c r="C24" s="20" t="str">
        <f aca="false">IFERROR(VLOOKUP(A24,'Item Master'!$A$4:$G$203,5,FALSE()),"")</f>
        <v>B</v>
      </c>
      <c r="D24" s="20" t="n">
        <f aca="false">IFERROR(VLOOKUP(C24,Lists!$E$4:$F$6,2,FALSE()),"")</f>
        <v>90</v>
      </c>
      <c r="E24" s="17"/>
      <c r="F24" s="27" t="str">
        <f aca="false">IF(OR(E24="",D24=""),"",E24+D24)</f>
        <v/>
      </c>
      <c r="G24" s="28" t="str">
        <f aca="true">IF(F24="","",F24-TODAY())</f>
        <v/>
      </c>
      <c r="H24" s="20" t="str">
        <f aca="false">IF(G24="","Not scheduled",IF(G24&lt;0,"Overdue",IF(G24&lt;=7,"Due soon","On track")))</f>
        <v>Not scheduled</v>
      </c>
    </row>
    <row r="25" customFormat="false" ht="15" hidden="false" customHeight="false" outlineLevel="0" collapsed="false">
      <c r="A25" s="20" t="s">
        <v>80</v>
      </c>
      <c r="B25" s="19" t="str">
        <f aca="false">IFERROR(VLOOKUP(A25,'Item Master'!$A$4:$G$203,2,FALSE()),"")</f>
        <v>Caulking Gun</v>
      </c>
      <c r="C25" s="20" t="str">
        <f aca="false">IFERROR(VLOOKUP(A25,'Item Master'!$A$4:$G$203,5,FALSE()),"")</f>
        <v>C</v>
      </c>
      <c r="D25" s="20" t="n">
        <f aca="false">IFERROR(VLOOKUP(C25,Lists!$E$4:$F$6,2,FALSE()),"")</f>
        <v>180</v>
      </c>
      <c r="E25" s="17"/>
      <c r="F25" s="27" t="str">
        <f aca="false">IF(OR(E25="",D25=""),"",E25+D25)</f>
        <v/>
      </c>
      <c r="G25" s="28" t="str">
        <f aca="true">IF(F25="","",F25-TODAY())</f>
        <v/>
      </c>
      <c r="H25" s="20" t="str">
        <f aca="false">IF(G25="","Not scheduled",IF(G25&lt;0,"Overdue",IF(G25&lt;=7,"Due soon","On track")))</f>
        <v>Not scheduled</v>
      </c>
    </row>
    <row r="26" customFormat="false" ht="15" hidden="false" customHeight="false" outlineLevel="0" collapsed="false">
      <c r="A26" s="20" t="s">
        <v>81</v>
      </c>
      <c r="B26" s="19" t="str">
        <f aca="false">IFERROR(VLOOKUP(A26,'Item Master'!$A$4:$G$203,2,FALSE()),"")</f>
        <v>Dust Mask (box 50)</v>
      </c>
      <c r="C26" s="20" t="str">
        <f aca="false">IFERROR(VLOOKUP(A26,'Item Master'!$A$4:$G$203,5,FALSE()),"")</f>
        <v>C</v>
      </c>
      <c r="D26" s="20" t="n">
        <f aca="false">IFERROR(VLOOKUP(C26,Lists!$E$4:$F$6,2,FALSE()),"")</f>
        <v>180</v>
      </c>
      <c r="E26" s="17"/>
      <c r="F26" s="27" t="str">
        <f aca="false">IF(OR(E26="",D26=""),"",E26+D26)</f>
        <v/>
      </c>
      <c r="G26" s="28" t="str">
        <f aca="true">IF(F26="","",F26-TODAY())</f>
        <v/>
      </c>
      <c r="H26" s="20" t="str">
        <f aca="false">IF(G26="","Not scheduled",IF(G26&lt;0,"Overdue",IF(G26&lt;=7,"Due soon","On track")))</f>
        <v>Not scheduled</v>
      </c>
    </row>
    <row r="27" customFormat="false" ht="15" hidden="false" customHeight="false" outlineLevel="0" collapsed="false">
      <c r="A27" s="20" t="s">
        <v>56</v>
      </c>
      <c r="B27" s="19" t="str">
        <f aca="false">IFERROR(VLOOKUP(A27,'Item Master'!$A$4:$G$203,2,FALSE()),"")</f>
        <v>Angle Grinder 900W</v>
      </c>
      <c r="C27" s="20" t="str">
        <f aca="false">IFERROR(VLOOKUP(A27,'Item Master'!$A$4:$G$203,5,FALSE()),"")</f>
        <v>A</v>
      </c>
      <c r="D27" s="20" t="n">
        <f aca="false">IFERROR(VLOOKUP(C27,Lists!$E$4:$F$6,2,FALSE()),"")</f>
        <v>30</v>
      </c>
      <c r="E27" s="17" t="n">
        <v>45442</v>
      </c>
      <c r="F27" s="27" t="n">
        <f aca="false">IF(OR(E27="",D27=""),"",E27+D27)</f>
        <v>45472</v>
      </c>
      <c r="G27" s="28" t="n">
        <f aca="true">IF(F27="","",F27-TODAY())</f>
        <v>-711</v>
      </c>
      <c r="H27" s="20" t="str">
        <f aca="false">IF(G27="","Not scheduled",IF(G27&lt;0,"Overdue",IF(G27&lt;=7,"Due soon","On track")))</f>
        <v>Overdue</v>
      </c>
    </row>
  </sheetData>
  <conditionalFormatting sqref="H4:H27">
    <cfRule type="cellIs" priority="2" operator="equal" aboveAverage="0" equalAverage="0" bottom="0" percent="0" rank="0" text="" dxfId="0">
      <formula>"Overdue"</formula>
    </cfRule>
    <cfRule type="cellIs" priority="3" operator="equal" aboveAverage="0" equalAverage="0" bottom="0" percent="0" rank="0" text="" dxfId="2">
      <formula>"Due soon"</formula>
    </cfRule>
    <cfRule type="cellIs" priority="4" operator="equal" aboveAverage="0" equalAverage="0" bottom="0" percent="0" rank="0" text="" dxfId="1">
      <formula>"On track"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26"/>
    <col collapsed="false" customWidth="true" hidden="false" outlineLevel="0" max="3" min="3" style="0" width="15"/>
    <col collapsed="false" customWidth="true" hidden="false" outlineLevel="0" max="4" min="4" style="0" width="14"/>
    <col collapsed="false" customWidth="true" hidden="false" outlineLevel="0" max="5" min="5" style="0" width="11"/>
    <col collapsed="false" customWidth="true" hidden="false" outlineLevel="0" max="7" min="6" style="0" width="12"/>
  </cols>
  <sheetData>
    <row r="1" customFormat="false" ht="64.9" hidden="false" customHeight="false" outlineLevel="0" collapsed="false">
      <c r="A1" s="15" t="s">
        <v>82</v>
      </c>
    </row>
    <row r="3" customFormat="false" ht="15" hidden="false" customHeight="false" outlineLevel="0" collapsed="false">
      <c r="A3" s="16" t="s">
        <v>36</v>
      </c>
      <c r="B3" s="16" t="s">
        <v>37</v>
      </c>
      <c r="C3" s="16" t="s">
        <v>83</v>
      </c>
      <c r="D3" s="16" t="s">
        <v>38</v>
      </c>
      <c r="E3" s="16" t="s">
        <v>64</v>
      </c>
      <c r="F3" s="16" t="s">
        <v>84</v>
      </c>
      <c r="G3" s="16" t="s">
        <v>40</v>
      </c>
    </row>
    <row r="4" customFormat="false" ht="15" hidden="false" customHeight="false" outlineLevel="0" collapsed="false">
      <c r="A4" s="29" t="s">
        <v>48</v>
      </c>
      <c r="B4" s="29" t="s">
        <v>85</v>
      </c>
      <c r="C4" s="29" t="s">
        <v>86</v>
      </c>
      <c r="D4" s="29" t="s">
        <v>87</v>
      </c>
      <c r="E4" s="29" t="s">
        <v>30</v>
      </c>
      <c r="F4" s="30" t="n">
        <v>78.5</v>
      </c>
      <c r="G4" s="31" t="n">
        <v>42</v>
      </c>
    </row>
    <row r="5" customFormat="false" ht="15" hidden="false" customHeight="false" outlineLevel="0" collapsed="false">
      <c r="A5" s="13" t="s">
        <v>51</v>
      </c>
      <c r="B5" s="13" t="s">
        <v>88</v>
      </c>
      <c r="C5" s="13" t="s">
        <v>89</v>
      </c>
      <c r="D5" s="13" t="s">
        <v>90</v>
      </c>
      <c r="E5" s="13" t="s">
        <v>32</v>
      </c>
      <c r="F5" s="14" t="n">
        <v>14.25</v>
      </c>
      <c r="G5" s="32" t="n">
        <v>160</v>
      </c>
    </row>
    <row r="6" customFormat="false" ht="15" hidden="false" customHeight="false" outlineLevel="0" collapsed="false">
      <c r="A6" s="29" t="s">
        <v>62</v>
      </c>
      <c r="B6" s="29" t="s">
        <v>91</v>
      </c>
      <c r="C6" s="29" t="s">
        <v>92</v>
      </c>
      <c r="D6" s="29" t="s">
        <v>93</v>
      </c>
      <c r="E6" s="29" t="s">
        <v>33</v>
      </c>
      <c r="F6" s="30" t="n">
        <v>3.1</v>
      </c>
      <c r="G6" s="31" t="n">
        <v>540</v>
      </c>
    </row>
    <row r="7" customFormat="false" ht="15" hidden="false" customHeight="false" outlineLevel="0" collapsed="false">
      <c r="A7" s="13" t="s">
        <v>70</v>
      </c>
      <c r="B7" s="13" t="s">
        <v>94</v>
      </c>
      <c r="C7" s="13" t="s">
        <v>92</v>
      </c>
      <c r="D7" s="13" t="s">
        <v>95</v>
      </c>
      <c r="E7" s="13" t="s">
        <v>33</v>
      </c>
      <c r="F7" s="14" t="n">
        <v>2.45</v>
      </c>
      <c r="G7" s="32" t="n">
        <v>300</v>
      </c>
    </row>
    <row r="8" customFormat="false" ht="15" hidden="false" customHeight="false" outlineLevel="0" collapsed="false">
      <c r="A8" s="29" t="s">
        <v>57</v>
      </c>
      <c r="B8" s="29" t="s">
        <v>96</v>
      </c>
      <c r="C8" s="29" t="s">
        <v>97</v>
      </c>
      <c r="D8" s="29" t="s">
        <v>98</v>
      </c>
      <c r="E8" s="29" t="s">
        <v>32</v>
      </c>
      <c r="F8" s="30" t="n">
        <v>9.9</v>
      </c>
      <c r="G8" s="31" t="n">
        <v>118</v>
      </c>
    </row>
    <row r="9" customFormat="false" ht="15" hidden="false" customHeight="false" outlineLevel="0" collapsed="false">
      <c r="A9" s="13" t="s">
        <v>58</v>
      </c>
      <c r="B9" s="13" t="s">
        <v>99</v>
      </c>
      <c r="C9" s="13" t="s">
        <v>97</v>
      </c>
      <c r="D9" s="13" t="s">
        <v>100</v>
      </c>
      <c r="E9" s="13" t="s">
        <v>32</v>
      </c>
      <c r="F9" s="14" t="n">
        <v>6.75</v>
      </c>
      <c r="G9" s="32" t="n">
        <v>205</v>
      </c>
    </row>
    <row r="10" customFormat="false" ht="15" hidden="false" customHeight="false" outlineLevel="0" collapsed="false">
      <c r="A10" s="29" t="s">
        <v>53</v>
      </c>
      <c r="B10" s="29" t="s">
        <v>101</v>
      </c>
      <c r="C10" s="29" t="s">
        <v>102</v>
      </c>
      <c r="D10" s="29" t="s">
        <v>103</v>
      </c>
      <c r="E10" s="29" t="s">
        <v>30</v>
      </c>
      <c r="F10" s="30" t="n">
        <v>34</v>
      </c>
      <c r="G10" s="31" t="n">
        <v>60</v>
      </c>
    </row>
    <row r="11" customFormat="false" ht="15" hidden="false" customHeight="false" outlineLevel="0" collapsed="false">
      <c r="A11" s="13" t="s">
        <v>71</v>
      </c>
      <c r="B11" s="13" t="s">
        <v>104</v>
      </c>
      <c r="C11" s="13" t="s">
        <v>105</v>
      </c>
      <c r="D11" s="13" t="s">
        <v>106</v>
      </c>
      <c r="E11" s="13" t="s">
        <v>32</v>
      </c>
      <c r="F11" s="14" t="n">
        <v>12.3</v>
      </c>
      <c r="G11" s="32" t="n">
        <v>140</v>
      </c>
    </row>
    <row r="12" customFormat="false" ht="15" hidden="false" customHeight="false" outlineLevel="0" collapsed="false">
      <c r="A12" s="29" t="s">
        <v>60</v>
      </c>
      <c r="B12" s="29" t="s">
        <v>107</v>
      </c>
      <c r="C12" s="29" t="s">
        <v>108</v>
      </c>
      <c r="D12" s="29" t="s">
        <v>109</v>
      </c>
      <c r="E12" s="29" t="s">
        <v>33</v>
      </c>
      <c r="F12" s="30" t="n">
        <v>4.8</v>
      </c>
      <c r="G12" s="31" t="n">
        <v>420</v>
      </c>
    </row>
    <row r="13" customFormat="false" ht="15" hidden="false" customHeight="false" outlineLevel="0" collapsed="false">
      <c r="A13" s="13" t="s">
        <v>72</v>
      </c>
      <c r="B13" s="13" t="s">
        <v>110</v>
      </c>
      <c r="C13" s="13" t="s">
        <v>108</v>
      </c>
      <c r="D13" s="13" t="s">
        <v>111</v>
      </c>
      <c r="E13" s="13" t="s">
        <v>33</v>
      </c>
      <c r="F13" s="14" t="n">
        <v>3.95</v>
      </c>
      <c r="G13" s="32" t="n">
        <v>610</v>
      </c>
    </row>
    <row r="14" customFormat="false" ht="15" hidden="false" customHeight="false" outlineLevel="0" collapsed="false">
      <c r="A14" s="29" t="s">
        <v>73</v>
      </c>
      <c r="B14" s="29" t="s">
        <v>112</v>
      </c>
      <c r="C14" s="29" t="s">
        <v>113</v>
      </c>
      <c r="D14" s="29" t="s">
        <v>114</v>
      </c>
      <c r="E14" s="29" t="s">
        <v>33</v>
      </c>
      <c r="F14" s="30" t="n">
        <v>7.2</v>
      </c>
      <c r="G14" s="31" t="n">
        <v>180</v>
      </c>
    </row>
    <row r="15" customFormat="false" ht="15" hidden="false" customHeight="false" outlineLevel="0" collapsed="false">
      <c r="A15" s="13" t="s">
        <v>61</v>
      </c>
      <c r="B15" s="13" t="s">
        <v>115</v>
      </c>
      <c r="C15" s="13" t="s">
        <v>113</v>
      </c>
      <c r="D15" s="13" t="s">
        <v>116</v>
      </c>
      <c r="E15" s="13" t="s">
        <v>33</v>
      </c>
      <c r="F15" s="14" t="n">
        <v>1.9</v>
      </c>
      <c r="G15" s="32" t="n">
        <v>720</v>
      </c>
    </row>
    <row r="16" customFormat="false" ht="15" hidden="false" customHeight="false" outlineLevel="0" collapsed="false">
      <c r="A16" s="29" t="s">
        <v>54</v>
      </c>
      <c r="B16" s="29" t="s">
        <v>117</v>
      </c>
      <c r="C16" s="29" t="s">
        <v>86</v>
      </c>
      <c r="D16" s="29" t="s">
        <v>118</v>
      </c>
      <c r="E16" s="29" t="s">
        <v>30</v>
      </c>
      <c r="F16" s="30" t="n">
        <v>112</v>
      </c>
      <c r="G16" s="31" t="n">
        <v>28</v>
      </c>
    </row>
    <row r="17" customFormat="false" ht="15" hidden="false" customHeight="false" outlineLevel="0" collapsed="false">
      <c r="A17" s="13" t="s">
        <v>74</v>
      </c>
      <c r="B17" s="13" t="s">
        <v>119</v>
      </c>
      <c r="C17" s="13" t="s">
        <v>89</v>
      </c>
      <c r="D17" s="13" t="s">
        <v>120</v>
      </c>
      <c r="E17" s="13" t="s">
        <v>32</v>
      </c>
      <c r="F17" s="14" t="n">
        <v>8.6</v>
      </c>
      <c r="G17" s="32" t="n">
        <v>95</v>
      </c>
    </row>
    <row r="18" customFormat="false" ht="15" hidden="false" customHeight="false" outlineLevel="0" collapsed="false">
      <c r="A18" s="29" t="s">
        <v>59</v>
      </c>
      <c r="B18" s="29" t="s">
        <v>121</v>
      </c>
      <c r="C18" s="29" t="s">
        <v>97</v>
      </c>
      <c r="D18" s="29" t="s">
        <v>122</v>
      </c>
      <c r="E18" s="29" t="s">
        <v>32</v>
      </c>
      <c r="F18" s="30" t="n">
        <v>11.4</v>
      </c>
      <c r="G18" s="31" t="n">
        <v>72</v>
      </c>
    </row>
    <row r="19" customFormat="false" ht="15" hidden="false" customHeight="false" outlineLevel="0" collapsed="false">
      <c r="A19" s="13" t="s">
        <v>75</v>
      </c>
      <c r="B19" s="13" t="s">
        <v>123</v>
      </c>
      <c r="C19" s="13" t="s">
        <v>97</v>
      </c>
      <c r="D19" s="13" t="s">
        <v>124</v>
      </c>
      <c r="E19" s="13" t="s">
        <v>33</v>
      </c>
      <c r="F19" s="14" t="n">
        <v>2.1</v>
      </c>
      <c r="G19" s="32" t="n">
        <v>260</v>
      </c>
    </row>
    <row r="20" customFormat="false" ht="15" hidden="false" customHeight="false" outlineLevel="0" collapsed="false">
      <c r="A20" s="29" t="s">
        <v>55</v>
      </c>
      <c r="B20" s="29" t="s">
        <v>125</v>
      </c>
      <c r="C20" s="29" t="s">
        <v>126</v>
      </c>
      <c r="D20" s="29" t="s">
        <v>127</v>
      </c>
      <c r="E20" s="29" t="s">
        <v>30</v>
      </c>
      <c r="F20" s="30" t="n">
        <v>46</v>
      </c>
      <c r="G20" s="31" t="n">
        <v>34</v>
      </c>
    </row>
    <row r="21" customFormat="false" ht="15" hidden="false" customHeight="false" outlineLevel="0" collapsed="false">
      <c r="A21" s="13" t="s">
        <v>76</v>
      </c>
      <c r="B21" s="13" t="s">
        <v>128</v>
      </c>
      <c r="C21" s="13" t="s">
        <v>129</v>
      </c>
      <c r="D21" s="13" t="s">
        <v>130</v>
      </c>
      <c r="E21" s="13" t="s">
        <v>32</v>
      </c>
      <c r="F21" s="14" t="n">
        <v>22.5</v>
      </c>
      <c r="G21" s="32" t="n">
        <v>58</v>
      </c>
    </row>
    <row r="22" customFormat="false" ht="15" hidden="false" customHeight="false" outlineLevel="0" collapsed="false">
      <c r="A22" s="29" t="s">
        <v>77</v>
      </c>
      <c r="B22" s="29" t="s">
        <v>131</v>
      </c>
      <c r="C22" s="29" t="s">
        <v>105</v>
      </c>
      <c r="D22" s="29" t="s">
        <v>132</v>
      </c>
      <c r="E22" s="29" t="s">
        <v>33</v>
      </c>
      <c r="F22" s="30" t="n">
        <v>2.8</v>
      </c>
      <c r="G22" s="31" t="n">
        <v>500</v>
      </c>
    </row>
    <row r="23" customFormat="false" ht="15" hidden="false" customHeight="false" outlineLevel="0" collapsed="false">
      <c r="A23" s="13" t="s">
        <v>78</v>
      </c>
      <c r="B23" s="13" t="s">
        <v>133</v>
      </c>
      <c r="C23" s="13" t="s">
        <v>113</v>
      </c>
      <c r="D23" s="13" t="s">
        <v>134</v>
      </c>
      <c r="E23" s="13" t="s">
        <v>33</v>
      </c>
      <c r="F23" s="14" t="n">
        <v>3.4</v>
      </c>
      <c r="G23" s="32" t="n">
        <v>340</v>
      </c>
    </row>
    <row r="24" customFormat="false" ht="15" hidden="false" customHeight="false" outlineLevel="0" collapsed="false">
      <c r="A24" s="29" t="s">
        <v>79</v>
      </c>
      <c r="B24" s="29" t="s">
        <v>135</v>
      </c>
      <c r="C24" s="29" t="s">
        <v>97</v>
      </c>
      <c r="D24" s="29" t="s">
        <v>136</v>
      </c>
      <c r="E24" s="29" t="s">
        <v>32</v>
      </c>
      <c r="F24" s="30" t="n">
        <v>27.9</v>
      </c>
      <c r="G24" s="31" t="n">
        <v>66</v>
      </c>
    </row>
    <row r="25" customFormat="false" ht="15" hidden="false" customHeight="false" outlineLevel="0" collapsed="false">
      <c r="A25" s="13" t="s">
        <v>80</v>
      </c>
      <c r="B25" s="13" t="s">
        <v>137</v>
      </c>
      <c r="C25" s="13" t="s">
        <v>113</v>
      </c>
      <c r="D25" s="13" t="s">
        <v>138</v>
      </c>
      <c r="E25" s="13" t="s">
        <v>33</v>
      </c>
      <c r="F25" s="14" t="n">
        <v>5.5</v>
      </c>
      <c r="G25" s="32" t="n">
        <v>150</v>
      </c>
    </row>
    <row r="26" customFormat="false" ht="15" hidden="false" customHeight="false" outlineLevel="0" collapsed="false">
      <c r="A26" s="29" t="s">
        <v>81</v>
      </c>
      <c r="B26" s="29" t="s">
        <v>139</v>
      </c>
      <c r="C26" s="29" t="s">
        <v>92</v>
      </c>
      <c r="D26" s="29" t="s">
        <v>140</v>
      </c>
      <c r="E26" s="29" t="s">
        <v>33</v>
      </c>
      <c r="F26" s="30" t="n">
        <v>6.2</v>
      </c>
      <c r="G26" s="31" t="n">
        <v>210</v>
      </c>
    </row>
    <row r="27" customFormat="false" ht="15" hidden="false" customHeight="false" outlineLevel="0" collapsed="false">
      <c r="A27" s="13" t="s">
        <v>56</v>
      </c>
      <c r="B27" s="13" t="s">
        <v>141</v>
      </c>
      <c r="C27" s="13" t="s">
        <v>86</v>
      </c>
      <c r="D27" s="13" t="s">
        <v>142</v>
      </c>
      <c r="E27" s="13" t="s">
        <v>30</v>
      </c>
      <c r="F27" s="14" t="n">
        <v>64</v>
      </c>
      <c r="G27" s="32" t="n">
        <v>31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F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3" min="2" style="0" width="16"/>
    <col collapsed="false" customWidth="true" hidden="false" outlineLevel="0" max="4" min="4" style="0" width="3"/>
    <col collapsed="false" customWidth="true" hidden="false" outlineLevel="0" max="5" min="5" style="0" width="26"/>
    <col collapsed="false" customWidth="true" hidden="false" outlineLevel="0" max="6" min="6" style="0" width="10"/>
  </cols>
  <sheetData>
    <row r="1" customFormat="false" ht="64.9" hidden="false" customHeight="false" outlineLevel="0" collapsed="false">
      <c r="A1" s="15" t="s">
        <v>143</v>
      </c>
    </row>
    <row r="3" customFormat="false" ht="23.85" hidden="false" customHeight="false" outlineLevel="0" collapsed="false">
      <c r="A3" s="33" t="s">
        <v>64</v>
      </c>
      <c r="B3" s="33" t="s">
        <v>144</v>
      </c>
      <c r="C3" s="33" t="s">
        <v>45</v>
      </c>
      <c r="E3" s="33" t="s">
        <v>145</v>
      </c>
    </row>
    <row r="4" customFormat="false" ht="15" hidden="false" customHeight="false" outlineLevel="0" collapsed="false">
      <c r="A4" s="0" t="s">
        <v>30</v>
      </c>
      <c r="B4" s="0" t="s">
        <v>52</v>
      </c>
      <c r="C4" s="0" t="s">
        <v>49</v>
      </c>
      <c r="E4" s="34" t="s">
        <v>30</v>
      </c>
      <c r="F4" s="35" t="n">
        <v>30</v>
      </c>
    </row>
    <row r="5" customFormat="false" ht="15" hidden="false" customHeight="false" outlineLevel="0" collapsed="false">
      <c r="A5" s="0" t="s">
        <v>32</v>
      </c>
      <c r="B5" s="0" t="s">
        <v>146</v>
      </c>
      <c r="C5" s="0" t="s">
        <v>147</v>
      </c>
      <c r="E5" s="34" t="s">
        <v>32</v>
      </c>
      <c r="F5" s="35" t="n">
        <v>90</v>
      </c>
    </row>
    <row r="6" customFormat="false" ht="15" hidden="false" customHeight="false" outlineLevel="0" collapsed="false">
      <c r="A6" s="0" t="s">
        <v>33</v>
      </c>
      <c r="B6" s="0" t="s">
        <v>50</v>
      </c>
      <c r="C6" s="0" t="s">
        <v>148</v>
      </c>
      <c r="E6" s="34" t="s">
        <v>33</v>
      </c>
      <c r="F6" s="35" t="n">
        <v>180</v>
      </c>
    </row>
    <row r="7" customFormat="false" ht="15" hidden="false" customHeight="false" outlineLevel="0" collapsed="false">
      <c r="B7" s="0" t="s">
        <v>149</v>
      </c>
      <c r="C7" s="0" t="s">
        <v>150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2026-06-10T01:26:22Z</dcterms:created>
  <dc:creator>openpyxl</dc:creator>
  <dc:description/>
  <dc:language>en-US</dc:language>
  <cp:lastModifiedBy/>
  <dcterms:modified xsi:type="dcterms:W3CDTF">2026-06-10T01:26:24Z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